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userName="s273689" algorithmName="SHA-512" hashValue="143u6yb8JmmA53p36j6EwzAXJdPxjD0LSxlcd/3I01XLGFUsgFPbbUGvaa1TM/chE/eJHqQflnzHyeX6js25/A==" saltValue="/moaHQpYmONjzvZlKzUGDA==" spinCount="100000"/>
  <workbookPr filterPrivacy="1" codeName="ThisWorkbook" defaultThemeVersion="124226"/>
  <xr:revisionPtr revIDLastSave="0" documentId="8_{DA909FDF-909D-4B73-B3FF-8E096784863E}" xr6:coauthVersionLast="47" xr6:coauthVersionMax="47" xr10:uidLastSave="{00000000-0000-0000-0000-000000000000}"/>
  <bookViews>
    <workbookView xWindow="2868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B-3-A-Remeas Suprt" sheetId="44"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R Schedule 12" sheetId="41" r:id="rId25"/>
    <sheet name="WS R Schedule 1A" sheetId="42" r:id="rId26"/>
  </sheets>
  <definedNames>
    <definedName name="_NPh1" localSheetId="6">#REF!</definedName>
    <definedName name="_NPh1">#REF!</definedName>
    <definedName name="ActExcessAmt" localSheetId="6">#REF!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 localSheetId="25">TCOS!#REF!</definedName>
    <definedName name="APCo_Hist_Allocators" localSheetId="6">#REF!</definedName>
    <definedName name="APCo_Hist_Allocators">TCOS!#REF!</definedName>
    <definedName name="APCo_Proj_Allocators" localSheetId="13">#REF!</definedName>
    <definedName name="APCo_Proj_Allocators" localSheetId="6">#REF!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 localSheetId="25">TCOS!#REF!</definedName>
    <definedName name="IM_Allocators" localSheetId="6">#REF!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 localSheetId="25">'WS I RESERVED'!#REF!</definedName>
    <definedName name="M_A" localSheetId="6">#REF!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 localSheetId="6">#REF!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20">'Worksheet O'!$A$3:$D$37</definedName>
    <definedName name="_xlnm.Print_Area" localSheetId="2">'WS B ADIT &amp; ITC'!$A$3:$I$56</definedName>
    <definedName name="_xlnm.Print_Area" localSheetId="8">'WS D IPP Credits'!$A$1:$E$28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Taxes'!$A$3:$M$71</definedName>
    <definedName name="_xlnm.Print_Area" localSheetId="13">'WS H-p2 Detail of Tax Amts'!$A$1:$I$113</definedName>
    <definedName name="_xlnm.Print_Area" localSheetId="14">'WS I RESERVED'!$A$1:$J$11</definedName>
    <definedName name="_xlnm.Print_Area" localSheetId="15">'WS J PROJECTED RTEP RR'!$A$1:$O$1070</definedName>
    <definedName name="_xlnm.Print_Area" localSheetId="16">'WS K TRUE-UP RTEP RR'!$A$3:$P$166</definedName>
    <definedName name="_xlnm.Print_Area" localSheetId="17">'WS L RESERVED'!$A$1:$F$11</definedName>
    <definedName name="_xlnm.Print_Area" localSheetId="19">'WS N - Sale of Plant Held'!$A$3:$U$35</definedName>
    <definedName name="_xlnm.Print_Area" localSheetId="21">'WS P Dep. Rates'!$A$1:$F$49</definedName>
    <definedName name="_xlnm.Print_Area" localSheetId="22">'WS Q Cap Structure'!$A$1:$J$237</definedName>
    <definedName name="_xlnm.Print_Area" localSheetId="23">'WS R Interest'!$A$1:$L$63</definedName>
    <definedName name="_xlnm.Print_Area" localSheetId="6">#REF!</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8" l="1"/>
  <c r="B17" i="42" l="1"/>
  <c r="G22" i="42" l="1"/>
  <c r="G23" i="42" s="1"/>
  <c r="G24" i="42" s="1"/>
  <c r="G25" i="42" s="1"/>
  <c r="G26" i="42" s="1"/>
  <c r="G27" i="42" s="1"/>
  <c r="G28" i="42" s="1"/>
  <c r="G29" i="42" s="1"/>
  <c r="G30" i="42" s="1"/>
  <c r="G31" i="42" s="1"/>
  <c r="G32" i="42" s="1"/>
  <c r="G39" i="42"/>
  <c r="G40" i="42" s="1"/>
  <c r="G41" i="42" s="1"/>
  <c r="G42" i="42" s="1"/>
  <c r="G43" i="42" s="1"/>
  <c r="G44" i="42" s="1"/>
  <c r="G45" i="42" s="1"/>
  <c r="G46" i="42" s="1"/>
  <c r="G47" i="42" s="1"/>
  <c r="G48" i="42" s="1"/>
  <c r="G49" i="42" s="1"/>
  <c r="G50" i="42" s="1"/>
  <c r="G22" i="41"/>
  <c r="G23" i="41" s="1"/>
  <c r="G24" i="41" s="1"/>
  <c r="G25" i="41" s="1"/>
  <c r="G26" i="41" s="1"/>
  <c r="G27" i="41" s="1"/>
  <c r="G28" i="41" s="1"/>
  <c r="G29" i="41" s="1"/>
  <c r="G30" i="41" s="1"/>
  <c r="G31" i="41" s="1"/>
  <c r="G32" i="41" s="1"/>
  <c r="G39" i="41"/>
  <c r="G40" i="41" s="1"/>
  <c r="G41" i="41" s="1"/>
  <c r="G42" i="41" s="1"/>
  <c r="G43" i="41" s="1"/>
  <c r="G44" i="41" s="1"/>
  <c r="G45" i="41" s="1"/>
  <c r="G46" i="41" s="1"/>
  <c r="G47" i="41" s="1"/>
  <c r="G48" i="41" s="1"/>
  <c r="G49" i="41" s="1"/>
  <c r="G50" i="41" s="1"/>
  <c r="G22" i="35"/>
  <c r="G23" i="35" s="1"/>
  <c r="G24" i="35" s="1"/>
  <c r="G25" i="35" s="1"/>
  <c r="G26" i="35" s="1"/>
  <c r="G27" i="35" s="1"/>
  <c r="G28" i="35" s="1"/>
  <c r="G29" i="35" s="1"/>
  <c r="G30" i="35" s="1"/>
  <c r="G31" i="35" s="1"/>
  <c r="G32" i="35" s="1"/>
  <c r="G39" i="35"/>
  <c r="G40" i="35" s="1"/>
  <c r="G41" i="35" s="1"/>
  <c r="G42" i="35" s="1"/>
  <c r="G43" i="35" s="1"/>
  <c r="G44" i="35" s="1"/>
  <c r="G45" i="35" s="1"/>
  <c r="G46" i="35" s="1"/>
  <c r="G47" i="35" s="1"/>
  <c r="G48" i="35" s="1"/>
  <c r="G49" i="35" s="1"/>
  <c r="G50" i="35" s="1"/>
  <c r="B8" i="35" l="1"/>
  <c r="F23" i="44" l="1"/>
  <c r="D21" i="44"/>
  <c r="H21" i="44" s="1"/>
  <c r="L17" i="44"/>
  <c r="H17" i="44"/>
  <c r="J15" i="44"/>
  <c r="J21" i="44" s="1"/>
  <c r="D15" i="44"/>
  <c r="H15" i="44" s="1"/>
  <c r="A14" i="44"/>
  <c r="A15" i="44" s="1"/>
  <c r="A17" i="44" s="1"/>
  <c r="A19" i="44" s="1"/>
  <c r="A20" i="44" s="1"/>
  <c r="A21" i="44" s="1"/>
  <c r="A23" i="44" s="1"/>
  <c r="L15" i="44" l="1"/>
  <c r="O15" i="44" s="1"/>
  <c r="J23" i="44"/>
  <c r="L21" i="44"/>
  <c r="O17" i="44"/>
  <c r="D23" i="44"/>
  <c r="L23" i="44" l="1"/>
  <c r="O21" i="44"/>
  <c r="O23" i="44" s="1"/>
  <c r="E44" i="5" l="1"/>
  <c r="G44" i="5"/>
  <c r="E36" i="5"/>
  <c r="G36" i="5"/>
  <c r="G42" i="39"/>
  <c r="D42" i="39"/>
  <c r="C42" i="39"/>
  <c r="F23" i="39"/>
  <c r="E23" i="39"/>
  <c r="D23" i="39"/>
  <c r="F42" i="38"/>
  <c r="D42" i="38"/>
  <c r="F23" i="38"/>
  <c r="D23" i="38"/>
  <c r="F42" i="39" l="1"/>
  <c r="E42" i="39"/>
  <c r="C23" i="39"/>
  <c r="C42" i="38"/>
  <c r="E23" i="38"/>
  <c r="G42" i="38"/>
  <c r="E42" i="38"/>
  <c r="G23" i="38"/>
  <c r="C23" i="38"/>
  <c r="C39" i="42" l="1"/>
  <c r="C40" i="42" s="1"/>
  <c r="C41" i="42" s="1"/>
  <c r="C42" i="42" s="1"/>
  <c r="C43" i="42" s="1"/>
  <c r="C44" i="42" s="1"/>
  <c r="C45" i="42" s="1"/>
  <c r="C46" i="42" s="1"/>
  <c r="C47" i="42" s="1"/>
  <c r="C48" i="42" s="1"/>
  <c r="C49" i="42" s="1"/>
  <c r="C50" i="42" s="1"/>
  <c r="C36" i="42"/>
  <c r="C21" i="42"/>
  <c r="C32" i="42" s="1"/>
  <c r="C39" i="41"/>
  <c r="C40" i="41" s="1"/>
  <c r="C41" i="41" s="1"/>
  <c r="C42" i="41" s="1"/>
  <c r="C43" i="41" s="1"/>
  <c r="C44" i="41" s="1"/>
  <c r="C45" i="41" s="1"/>
  <c r="C46" i="41" s="1"/>
  <c r="C47" i="41" s="1"/>
  <c r="C48" i="41" s="1"/>
  <c r="C49" i="41" s="1"/>
  <c r="C50" i="41" s="1"/>
  <c r="C36" i="41"/>
  <c r="C21" i="41"/>
  <c r="C32" i="41" s="1"/>
  <c r="C39" i="35"/>
  <c r="C36" i="35"/>
  <c r="C21" i="35"/>
  <c r="B17" i="41"/>
  <c r="B8" i="42"/>
  <c r="E8" i="41"/>
  <c r="B8" i="41"/>
  <c r="C25" i="42" l="1"/>
  <c r="C29" i="42"/>
  <c r="C22" i="42"/>
  <c r="C26" i="42"/>
  <c r="C30" i="42"/>
  <c r="C23" i="42"/>
  <c r="C27" i="42"/>
  <c r="C31" i="42"/>
  <c r="C24" i="42"/>
  <c r="C28" i="42"/>
  <c r="C23" i="41"/>
  <c r="C27" i="41"/>
  <c r="C31" i="41"/>
  <c r="C25" i="41"/>
  <c r="C29" i="41"/>
  <c r="C22" i="41"/>
  <c r="C26" i="41"/>
  <c r="C30" i="41"/>
  <c r="C24" i="41"/>
  <c r="C28" i="41"/>
  <c r="B44" i="43" l="1"/>
  <c r="O27" i="43"/>
  <c r="N27" i="43"/>
  <c r="L27" i="43"/>
  <c r="K27" i="43"/>
  <c r="J27" i="43"/>
  <c r="I27" i="43"/>
  <c r="B27" i="43"/>
  <c r="M27" i="43"/>
  <c r="P23" i="43"/>
  <c r="P19" i="43"/>
  <c r="Q18" i="43"/>
  <c r="P17" i="43"/>
  <c r="P16" i="43"/>
  <c r="Q15" i="43"/>
  <c r="Q14" i="43"/>
  <c r="P13" i="43"/>
  <c r="Q27" i="43" l="1"/>
  <c r="P24" i="43"/>
  <c r="P27" i="43" s="1"/>
  <c r="C28" i="35" l="1"/>
  <c r="C23" i="35"/>
  <c r="C29" i="35"/>
  <c r="E43" i="32"/>
  <c r="D42" i="32"/>
  <c r="C42" i="32"/>
  <c r="E41" i="32"/>
  <c r="E40" i="32"/>
  <c r="E42" i="32" l="1"/>
  <c r="E44" i="32" s="1"/>
  <c r="C24" i="35"/>
  <c r="C30" i="35"/>
  <c r="C26" i="35"/>
  <c r="C31" i="35"/>
  <c r="C22" i="35"/>
  <c r="C27" i="35"/>
  <c r="C32" i="35"/>
  <c r="C25" i="35"/>
  <c r="I42" i="5" l="1"/>
  <c r="G130" i="2"/>
  <c r="D23" i="40"/>
  <c r="D18" i="40"/>
  <c r="D20" i="40" s="1"/>
  <c r="I17" i="6"/>
  <c r="G101" i="2" s="1"/>
  <c r="H214" i="2"/>
  <c r="G142" i="2"/>
  <c r="G67" i="2"/>
  <c r="G22" i="39"/>
  <c r="G21" i="39"/>
  <c r="G20" i="39"/>
  <c r="G19" i="39"/>
  <c r="G18" i="39"/>
  <c r="G17" i="39"/>
  <c r="G16" i="39"/>
  <c r="G15" i="39"/>
  <c r="G14" i="39"/>
  <c r="G13" i="39"/>
  <c r="G11" i="39"/>
  <c r="G10" i="39"/>
  <c r="A3" i="6"/>
  <c r="B3" i="6"/>
  <c r="C3" i="6"/>
  <c r="D3" i="6"/>
  <c r="E3" i="6"/>
  <c r="F3" i="6"/>
  <c r="G3" i="6"/>
  <c r="H3" i="6"/>
  <c r="I3" i="6"/>
  <c r="J3" i="6"/>
  <c r="K3" i="6"/>
  <c r="L3" i="6"/>
  <c r="C40" i="35"/>
  <c r="C41" i="35" s="1"/>
  <c r="C42" i="35" s="1"/>
  <c r="C43" i="35" s="1"/>
  <c r="C44" i="35" s="1"/>
  <c r="C45" i="35" s="1"/>
  <c r="C46" i="35" s="1"/>
  <c r="C47" i="35" s="1"/>
  <c r="C48" i="35" s="1"/>
  <c r="C49" i="35" s="1"/>
  <c r="C50" i="35" s="1"/>
  <c r="H22" i="42"/>
  <c r="H23" i="42" s="1"/>
  <c r="H24" i="42" s="1"/>
  <c r="H25" i="42" s="1"/>
  <c r="H26" i="42" s="1"/>
  <c r="H27" i="42" s="1"/>
  <c r="H28" i="42" s="1"/>
  <c r="H29" i="42" s="1"/>
  <c r="H30" i="42" s="1"/>
  <c r="H31" i="42" s="1"/>
  <c r="H32" i="42" s="1"/>
  <c r="G10" i="42"/>
  <c r="C10" i="42"/>
  <c r="L229" i="2"/>
  <c r="L228" i="2"/>
  <c r="G74" i="2"/>
  <c r="G72" i="2"/>
  <c r="G64" i="2"/>
  <c r="H22" i="41"/>
  <c r="H23" i="41" s="1"/>
  <c r="H24" i="41" s="1"/>
  <c r="H25" i="41" s="1"/>
  <c r="H26" i="41" s="1"/>
  <c r="H27" i="41" s="1"/>
  <c r="H28" i="41" s="1"/>
  <c r="H29" i="41" s="1"/>
  <c r="H30" i="41" s="1"/>
  <c r="H31" i="41" s="1"/>
  <c r="H32" i="41" s="1"/>
  <c r="G10" i="41"/>
  <c r="C10" i="41"/>
  <c r="H22" i="35"/>
  <c r="H23" i="35" s="1"/>
  <c r="H24" i="35" s="1"/>
  <c r="H25" i="35" s="1"/>
  <c r="H26" i="35" s="1"/>
  <c r="H27" i="35" s="1"/>
  <c r="H28" i="35" s="1"/>
  <c r="H29" i="35" s="1"/>
  <c r="H30" i="35" s="1"/>
  <c r="H31" i="35" s="1"/>
  <c r="H32" i="35" s="1"/>
  <c r="G10" i="35"/>
  <c r="C10" i="35"/>
  <c r="D1001" i="20"/>
  <c r="C1001" i="20"/>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K996" i="20"/>
  <c r="I995" i="20"/>
  <c r="O982" i="20"/>
  <c r="N982" i="20"/>
  <c r="A982" i="20"/>
  <c r="D911" i="20"/>
  <c r="C911" i="20"/>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C966" i="20" s="1"/>
  <c r="C967" i="20" s="1"/>
  <c r="C968" i="20" s="1"/>
  <c r="C969" i="20" s="1"/>
  <c r="C970" i="20" s="1"/>
  <c r="K906" i="20"/>
  <c r="I905" i="20"/>
  <c r="O892" i="20"/>
  <c r="N892" i="20"/>
  <c r="A892" i="20"/>
  <c r="D821" i="20"/>
  <c r="C821" i="20"/>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875" i="20" s="1"/>
  <c r="C876" i="20" s="1"/>
  <c r="C877" i="20" s="1"/>
  <c r="C878" i="20" s="1"/>
  <c r="C879" i="20" s="1"/>
  <c r="C880" i="20" s="1"/>
  <c r="K816" i="20"/>
  <c r="I815" i="20"/>
  <c r="O802" i="20"/>
  <c r="N802" i="20"/>
  <c r="A802" i="20"/>
  <c r="D731" i="20"/>
  <c r="C731" i="20"/>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786" i="20" s="1"/>
  <c r="C787" i="20" s="1"/>
  <c r="C788" i="20" s="1"/>
  <c r="C789" i="20" s="1"/>
  <c r="C790" i="20" s="1"/>
  <c r="K726" i="20"/>
  <c r="I725" i="20"/>
  <c r="O712" i="20"/>
  <c r="N712" i="20"/>
  <c r="A712" i="20"/>
  <c r="D641" i="20"/>
  <c r="C641" i="20"/>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C697" i="20" s="1"/>
  <c r="C698" i="20" s="1"/>
  <c r="C699" i="20" s="1"/>
  <c r="C700" i="20" s="1"/>
  <c r="K636" i="20"/>
  <c r="I635" i="20"/>
  <c r="O622" i="20"/>
  <c r="N622" i="20"/>
  <c r="A622" i="20"/>
  <c r="D551" i="20"/>
  <c r="C551" i="20"/>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C608" i="20" s="1"/>
  <c r="C609" i="20" s="1"/>
  <c r="C610" i="20" s="1"/>
  <c r="K546" i="20"/>
  <c r="I545" i="20"/>
  <c r="O532" i="20"/>
  <c r="N532" i="20"/>
  <c r="A532" i="20"/>
  <c r="D461" i="20"/>
  <c r="C461" i="20"/>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519" i="20" s="1"/>
  <c r="C520" i="20" s="1"/>
  <c r="K456" i="20"/>
  <c r="I455" i="20"/>
  <c r="O442" i="20"/>
  <c r="N442" i="20"/>
  <c r="A442" i="20"/>
  <c r="D371" i="20"/>
  <c r="C371" i="20"/>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430" i="20" s="1"/>
  <c r="K366" i="20"/>
  <c r="I365" i="20"/>
  <c r="O352" i="20"/>
  <c r="N352" i="20"/>
  <c r="A352"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K276" i="20"/>
  <c r="I275" i="20"/>
  <c r="O262" i="20"/>
  <c r="N262" i="20"/>
  <c r="A262"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F62" i="38"/>
  <c r="E62" i="38"/>
  <c r="D62" i="38"/>
  <c r="C62" i="38"/>
  <c r="L206" i="2" s="1"/>
  <c r="A7" i="40"/>
  <c r="A4" i="40"/>
  <c r="A3" i="40"/>
  <c r="A12" i="40"/>
  <c r="A15" i="40" s="1"/>
  <c r="A16" i="40" s="1"/>
  <c r="A17" i="40" s="1"/>
  <c r="A18" i="40" s="1"/>
  <c r="A19" i="40" s="1"/>
  <c r="A20" i="40" s="1"/>
  <c r="A21" i="40" s="1"/>
  <c r="A22" i="40" s="1"/>
  <c r="A23" i="40" s="1"/>
  <c r="A26"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6" i="2" s="1"/>
  <c r="A2" i="38"/>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1"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B21" i="7"/>
  <c r="B11" i="7"/>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K96" i="20"/>
  <c r="I95" i="20"/>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59" i="2" s="1"/>
  <c r="C112" i="34"/>
  <c r="J24" i="34"/>
  <c r="E198" i="34"/>
  <c r="E186" i="34"/>
  <c r="G79" i="6"/>
  <c r="G30" i="6" s="1"/>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I51" i="11"/>
  <c r="I61" i="11" s="1"/>
  <c r="I63" i="11" s="1"/>
  <c r="I65" i="11" s="1"/>
  <c r="E66" i="11"/>
  <c r="E56" i="11"/>
  <c r="I66" i="11"/>
  <c r="I56" i="11"/>
  <c r="C50" i="11"/>
  <c r="M41" i="11"/>
  <c r="C31" i="34"/>
  <c r="C37" i="34"/>
  <c r="C38" i="34" s="1"/>
  <c r="C43" i="34"/>
  <c r="C44" i="34" s="1"/>
  <c r="C49" i="34"/>
  <c r="E31" i="34"/>
  <c r="E32" i="34" s="1"/>
  <c r="E37" i="34"/>
  <c r="E38" i="34" s="1"/>
  <c r="E43" i="34"/>
  <c r="E44" i="34" s="1"/>
  <c r="E49" i="34"/>
  <c r="E50" i="34" s="1"/>
  <c r="F31" i="34"/>
  <c r="F32" i="34" s="1"/>
  <c r="F37" i="34"/>
  <c r="F43" i="34"/>
  <c r="F49" i="34"/>
  <c r="F50" i="34" s="1"/>
  <c r="G31" i="34"/>
  <c r="G32" i="34" s="1"/>
  <c r="G37" i="34"/>
  <c r="G38" i="34" s="1"/>
  <c r="G43" i="34"/>
  <c r="G49" i="34"/>
  <c r="G50" i="34" s="1"/>
  <c r="H31" i="34"/>
  <c r="H32" i="34" s="1"/>
  <c r="H37" i="34"/>
  <c r="H38" i="34" s="1"/>
  <c r="H43" i="34"/>
  <c r="H44" i="34" s="1"/>
  <c r="H49" i="34"/>
  <c r="I31" i="34"/>
  <c r="I32" i="34" s="1"/>
  <c r="I37" i="34"/>
  <c r="I38" i="34" s="1"/>
  <c r="I43" i="34"/>
  <c r="I49" i="34"/>
  <c r="I50" i="34" s="1"/>
  <c r="F11" i="10"/>
  <c r="F15" i="10"/>
  <c r="F19" i="10"/>
  <c r="F23" i="10"/>
  <c r="F27" i="10"/>
  <c r="C14" i="34"/>
  <c r="C63" i="34" s="1"/>
  <c r="J10" i="34"/>
  <c r="J9" i="34"/>
  <c r="J11" i="34"/>
  <c r="J13" i="34"/>
  <c r="J56" i="34"/>
  <c r="J58" i="34"/>
  <c r="J59" i="34"/>
  <c r="F14" i="34"/>
  <c r="F63" i="34" s="1"/>
  <c r="G14" i="34"/>
  <c r="G63" i="34" s="1"/>
  <c r="H14" i="34"/>
  <c r="I14" i="34"/>
  <c r="I63" i="34" s="1"/>
  <c r="J19" i="34"/>
  <c r="J20" i="34"/>
  <c r="J21" i="34"/>
  <c r="J22" i="34"/>
  <c r="J23" i="34"/>
  <c r="D21" i="9"/>
  <c r="G133" i="2" s="1"/>
  <c r="G55" i="6"/>
  <c r="G29" i="6" s="1"/>
  <c r="C21" i="7"/>
  <c r="G110" i="2" s="1"/>
  <c r="L110" i="2" s="1"/>
  <c r="O17" i="21"/>
  <c r="O22" i="21"/>
  <c r="O27" i="21"/>
  <c r="A10" i="34"/>
  <c r="A11" i="34" s="1"/>
  <c r="A12" i="34" s="1"/>
  <c r="A19" i="9"/>
  <c r="A20" i="9" s="1"/>
  <c r="A21" i="9" s="1"/>
  <c r="F118" i="34"/>
  <c r="F119" i="34" s="1"/>
  <c r="F124" i="34"/>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G118" i="34"/>
  <c r="G124" i="34"/>
  <c r="G125" i="34" s="1"/>
  <c r="G130" i="34"/>
  <c r="G131" i="34" s="1"/>
  <c r="G136" i="34"/>
  <c r="G137" i="34" s="1"/>
  <c r="H118" i="34"/>
  <c r="H119" i="34" s="1"/>
  <c r="H124" i="34"/>
  <c r="H125" i="34" s="1"/>
  <c r="H130" i="34"/>
  <c r="H131" i="34" s="1"/>
  <c r="H136" i="34"/>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E185" i="34"/>
  <c r="G185" i="34"/>
  <c r="H185" i="34"/>
  <c r="I185" i="34"/>
  <c r="C186" i="34"/>
  <c r="J186" i="34" s="1"/>
  <c r="G186" i="34"/>
  <c r="H186" i="34"/>
  <c r="I186" i="34"/>
  <c r="C187" i="34"/>
  <c r="J187" i="34" s="1"/>
  <c r="E187" i="34"/>
  <c r="G187" i="34"/>
  <c r="H187" i="34"/>
  <c r="I187" i="34"/>
  <c r="C206" i="34"/>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E101" i="34"/>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I3" i="5"/>
  <c r="H3" i="5"/>
  <c r="G3" i="5"/>
  <c r="F3" i="5"/>
  <c r="E3" i="5"/>
  <c r="D3" i="5"/>
  <c r="C3" i="5"/>
  <c r="B3" i="5"/>
  <c r="A3" i="5"/>
  <c r="I19" i="6"/>
  <c r="G102" i="2" s="1"/>
  <c r="I21" i="6"/>
  <c r="G103" i="2" s="1"/>
  <c r="I52" i="5"/>
  <c r="L90" i="2" s="1"/>
  <c r="G185" i="2"/>
  <c r="L185" i="2" s="1"/>
  <c r="E51" i="5"/>
  <c r="A14" i="31"/>
  <c r="A22" i="31" s="1"/>
  <c r="E163" i="2" s="1"/>
  <c r="I49" i="5"/>
  <c r="I50" i="5"/>
  <c r="C60" i="13"/>
  <c r="K33" i="21"/>
  <c r="A22" i="21"/>
  <c r="A27" i="21" s="1"/>
  <c r="A33" i="21" s="1"/>
  <c r="D187" i="2" s="1"/>
  <c r="A6" i="21"/>
  <c r="M20" i="13"/>
  <c r="L26" i="20"/>
  <c r="I27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J13" i="8"/>
  <c r="A15" i="8"/>
  <c r="A17" i="8" s="1"/>
  <c r="J15" i="8"/>
  <c r="A27" i="8"/>
  <c r="A29" i="8" s="1"/>
  <c r="A31" i="8" s="1"/>
  <c r="E15" i="2" s="1"/>
  <c r="J19" i="8"/>
  <c r="J29" i="8"/>
  <c r="A15" i="7"/>
  <c r="A17" i="7" s="1"/>
  <c r="A18" i="7" s="1"/>
  <c r="A19" i="7" s="1"/>
  <c r="A21" i="7" s="1"/>
  <c r="A17" i="6"/>
  <c r="A19" i="6" s="1"/>
  <c r="A17" i="5"/>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B15" i="2"/>
  <c r="E25" i="34"/>
  <c r="E14" i="34"/>
  <c r="E63" i="34" s="1"/>
  <c r="J12" i="34"/>
  <c r="C25" i="34"/>
  <c r="C198" i="34"/>
  <c r="L87"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G66" i="2"/>
  <c r="J97" i="13"/>
  <c r="E100" i="13" s="1"/>
  <c r="M100" i="13"/>
  <c r="M101" i="13"/>
  <c r="O100" i="13"/>
  <c r="O101" i="13"/>
  <c r="J55" i="6"/>
  <c r="J29" i="6" s="1"/>
  <c r="J79" i="6"/>
  <c r="J30" i="6" s="1"/>
  <c r="G217" i="2"/>
  <c r="I10" i="42"/>
  <c r="H216" i="2"/>
  <c r="H213" i="2"/>
  <c r="C64" i="38" l="1"/>
  <c r="A81" i="13"/>
  <c r="I184" i="36"/>
  <c r="I724" i="20"/>
  <c r="G36" i="36"/>
  <c r="G44" i="36"/>
  <c r="G52" i="36"/>
  <c r="G60" i="36"/>
  <c r="G73" i="37"/>
  <c r="F79" i="34"/>
  <c r="F100" i="13"/>
  <c r="D101" i="13" s="1"/>
  <c r="G76" i="36"/>
  <c r="G79" i="36"/>
  <c r="G95" i="36"/>
  <c r="G103" i="36"/>
  <c r="I994" i="20"/>
  <c r="I94" i="20"/>
  <c r="I544" i="20"/>
  <c r="G19" i="37"/>
  <c r="G43" i="37"/>
  <c r="G91" i="37"/>
  <c r="G59" i="37"/>
  <c r="G167" i="36"/>
  <c r="G172" i="36"/>
  <c r="G30" i="37"/>
  <c r="G80" i="36"/>
  <c r="G128" i="36"/>
  <c r="G101" i="36"/>
  <c r="G96" i="36"/>
  <c r="G127" i="36"/>
  <c r="G38" i="37"/>
  <c r="G46" i="37"/>
  <c r="G62" i="37"/>
  <c r="G166" i="34"/>
  <c r="G53" i="36"/>
  <c r="G34" i="36"/>
  <c r="G42" i="36"/>
  <c r="D72" i="36"/>
  <c r="G118" i="36"/>
  <c r="G134" i="36"/>
  <c r="G142" i="36"/>
  <c r="G153" i="36"/>
  <c r="G173" i="36"/>
  <c r="I53" i="11"/>
  <c r="I55" i="11" s="1"/>
  <c r="G28" i="36"/>
  <c r="G31" i="36"/>
  <c r="G39" i="36"/>
  <c r="G152" i="36"/>
  <c r="G84" i="37"/>
  <c r="G102" i="37"/>
  <c r="C184" i="36"/>
  <c r="A183" i="36"/>
  <c r="A184" i="36" s="1"/>
  <c r="E101" i="2"/>
  <c r="C197" i="36"/>
  <c r="G40" i="36"/>
  <c r="G48" i="36"/>
  <c r="G61" i="36"/>
  <c r="G163" i="36"/>
  <c r="G170" i="36"/>
  <c r="G174" i="36"/>
  <c r="G26" i="37"/>
  <c r="G50" i="37"/>
  <c r="G66" i="37"/>
  <c r="G82" i="37"/>
  <c r="G90" i="37"/>
  <c r="G97" i="37"/>
  <c r="G105" i="37"/>
  <c r="G160" i="36"/>
  <c r="G47" i="37"/>
  <c r="G30" i="36"/>
  <c r="G38" i="36"/>
  <c r="G68" i="36"/>
  <c r="G117" i="36"/>
  <c r="G146" i="36"/>
  <c r="G162" i="36"/>
  <c r="G49" i="37"/>
  <c r="G65" i="37"/>
  <c r="G81" i="37"/>
  <c r="C23" i="7"/>
  <c r="G140" i="36"/>
  <c r="G99" i="37"/>
  <c r="I51" i="5"/>
  <c r="G90" i="2" s="1"/>
  <c r="G79" i="34"/>
  <c r="G33" i="36"/>
  <c r="G57" i="36"/>
  <c r="G149" i="36"/>
  <c r="G180" i="36"/>
  <c r="D197" i="36"/>
  <c r="G79" i="37"/>
  <c r="G52" i="37"/>
  <c r="G54" i="37"/>
  <c r="J31" i="6"/>
  <c r="G104" i="2" s="1"/>
  <c r="J25" i="34"/>
  <c r="G75" i="37"/>
  <c r="G50" i="36"/>
  <c r="G83" i="36"/>
  <c r="G99" i="36"/>
  <c r="G107" i="36"/>
  <c r="G115" i="36"/>
  <c r="G150" i="36"/>
  <c r="G181" i="36"/>
  <c r="G40" i="37"/>
  <c r="G64" i="37"/>
  <c r="G80" i="37"/>
  <c r="G85" i="37"/>
  <c r="G93" i="37"/>
  <c r="G31" i="6"/>
  <c r="G106" i="2" s="1"/>
  <c r="L106" i="2" s="1"/>
  <c r="E23" i="36"/>
  <c r="G46" i="36"/>
  <c r="G120" i="36"/>
  <c r="G139" i="36"/>
  <c r="G144" i="36"/>
  <c r="G35" i="36"/>
  <c r="G59" i="36"/>
  <c r="G90" i="36"/>
  <c r="G98" i="36"/>
  <c r="G125" i="36"/>
  <c r="G133" i="36"/>
  <c r="J72" i="36"/>
  <c r="G29" i="37"/>
  <c r="G53" i="37"/>
  <c r="G61" i="37"/>
  <c r="C110" i="37"/>
  <c r="E79" i="34"/>
  <c r="G29" i="36"/>
  <c r="G138" i="36"/>
  <c r="G155" i="36"/>
  <c r="G57" i="37"/>
  <c r="G45" i="36"/>
  <c r="G116" i="36"/>
  <c r="G55" i="37"/>
  <c r="G41" i="37"/>
  <c r="G106" i="37"/>
  <c r="G55" i="36"/>
  <c r="G94" i="36"/>
  <c r="G102" i="36"/>
  <c r="G113" i="36"/>
  <c r="G129" i="36"/>
  <c r="G137" i="36"/>
  <c r="G148" i="36"/>
  <c r="G154" i="36"/>
  <c r="G165" i="36"/>
  <c r="G171" i="36"/>
  <c r="G60" i="37"/>
  <c r="G76" i="37"/>
  <c r="G95" i="37"/>
  <c r="A21" i="6"/>
  <c r="E103" i="2" s="1"/>
  <c r="E102" i="2"/>
  <c r="G135" i="36"/>
  <c r="G34" i="37"/>
  <c r="A23" i="31"/>
  <c r="A30" i="31" s="1"/>
  <c r="A37" i="31" s="1"/>
  <c r="A40" i="31" s="1"/>
  <c r="A49" i="31" s="1"/>
  <c r="A50" i="31" s="1"/>
  <c r="A52" i="31" s="1"/>
  <c r="A54" i="31" s="1"/>
  <c r="A58" i="31" s="1"/>
  <c r="A59" i="31" s="1"/>
  <c r="A61" i="31" s="1"/>
  <c r="A62" i="31" s="1"/>
  <c r="A65" i="31" s="1"/>
  <c r="A69" i="31" s="1"/>
  <c r="A81" i="31" s="1"/>
  <c r="A86" i="31" s="1"/>
  <c r="A89" i="31" s="1"/>
  <c r="A95" i="31" s="1"/>
  <c r="A98" i="31" s="1"/>
  <c r="A101" i="31" s="1"/>
  <c r="J101" i="34"/>
  <c r="J150" i="34" s="1"/>
  <c r="I197" i="36"/>
  <c r="G23" i="37"/>
  <c r="G31" i="37"/>
  <c r="J110" i="37"/>
  <c r="J197" i="34"/>
  <c r="H199" i="34"/>
  <c r="G43" i="36"/>
  <c r="G85" i="36"/>
  <c r="G93" i="36"/>
  <c r="G159" i="36"/>
  <c r="G20" i="37"/>
  <c r="G44" i="37"/>
  <c r="G98" i="37"/>
  <c r="G105" i="36"/>
  <c r="G37" i="37"/>
  <c r="G19" i="36"/>
  <c r="G109" i="36"/>
  <c r="G164" i="36"/>
  <c r="G92" i="37"/>
  <c r="G74" i="37"/>
  <c r="G194" i="36"/>
  <c r="I166" i="34"/>
  <c r="I188" i="34"/>
  <c r="I213" i="34" s="1"/>
  <c r="I216" i="34" s="1"/>
  <c r="I218" i="34" s="1"/>
  <c r="C199" i="34"/>
  <c r="E199" i="34"/>
  <c r="O33" i="21"/>
  <c r="G187" i="2" s="1"/>
  <c r="E52" i="34"/>
  <c r="E57" i="34" s="1"/>
  <c r="E60" i="34" s="1"/>
  <c r="E65" i="34" s="1"/>
  <c r="G92" i="36"/>
  <c r="G136" i="36"/>
  <c r="E177" i="36"/>
  <c r="E183" i="36" s="1"/>
  <c r="K184" i="36"/>
  <c r="G121" i="36"/>
  <c r="G81" i="36"/>
  <c r="G100" i="36"/>
  <c r="G111" i="36"/>
  <c r="G195" i="36"/>
  <c r="G32" i="37"/>
  <c r="G72" i="37"/>
  <c r="F44" i="34"/>
  <c r="F52" i="34"/>
  <c r="F64" i="34" s="1"/>
  <c r="G96" i="37"/>
  <c r="E109" i="37"/>
  <c r="C139" i="34"/>
  <c r="C144" i="34" s="1"/>
  <c r="C125" i="34"/>
  <c r="C140" i="34" s="1"/>
  <c r="F29" i="10"/>
  <c r="F341" i="2" s="1"/>
  <c r="G169" i="2" s="1"/>
  <c r="G173" i="2" s="1"/>
  <c r="G180" i="2" s="1"/>
  <c r="K197" i="36"/>
  <c r="C150" i="34"/>
  <c r="C166" i="34"/>
  <c r="J177" i="36"/>
  <c r="J183" i="36" s="1"/>
  <c r="J136" i="34"/>
  <c r="E137" i="34"/>
  <c r="E140" i="34" s="1"/>
  <c r="J185" i="34"/>
  <c r="J188" i="34" s="1"/>
  <c r="J213" i="34" s="1"/>
  <c r="C188" i="34"/>
  <c r="C213" i="34" s="1"/>
  <c r="C216" i="34" s="1"/>
  <c r="C218" i="34" s="1"/>
  <c r="H50" i="34"/>
  <c r="H53" i="34" s="1"/>
  <c r="H203" i="34" s="1"/>
  <c r="H52" i="34"/>
  <c r="H57" i="34" s="1"/>
  <c r="H60" i="34" s="1"/>
  <c r="H65" i="34" s="1"/>
  <c r="F23" i="36"/>
  <c r="G20" i="36"/>
  <c r="G62" i="36"/>
  <c r="C72" i="36"/>
  <c r="G66" i="36"/>
  <c r="E71" i="36"/>
  <c r="D184" i="36"/>
  <c r="G106" i="36"/>
  <c r="G130" i="36"/>
  <c r="F166" i="34"/>
  <c r="G47" i="36"/>
  <c r="G63" i="36"/>
  <c r="G87" i="36"/>
  <c r="K177" i="36"/>
  <c r="K183" i="36" s="1"/>
  <c r="G91" i="36"/>
  <c r="G112" i="36"/>
  <c r="G119" i="36"/>
  <c r="G122" i="36"/>
  <c r="G123" i="36"/>
  <c r="G131" i="36"/>
  <c r="G132" i="36"/>
  <c r="G147" i="36"/>
  <c r="G156" i="36"/>
  <c r="G157" i="36"/>
  <c r="G166" i="36"/>
  <c r="J197" i="36"/>
  <c r="G18" i="37"/>
  <c r="D109" i="37"/>
  <c r="G22" i="37"/>
  <c r="G25" i="37"/>
  <c r="G33" i="37"/>
  <c r="G36" i="37"/>
  <c r="G39" i="37"/>
  <c r="J109" i="37"/>
  <c r="G42" i="37"/>
  <c r="G45" i="37"/>
  <c r="G56" i="37"/>
  <c r="G63" i="37"/>
  <c r="G69" i="37"/>
  <c r="I110" i="37"/>
  <c r="G78" i="37"/>
  <c r="G87" i="37"/>
  <c r="G88" i="37"/>
  <c r="G94" i="37"/>
  <c r="F87" i="38"/>
  <c r="L205" i="2" s="1"/>
  <c r="E188" i="34"/>
  <c r="E213" i="34" s="1"/>
  <c r="E216" i="34" s="1"/>
  <c r="E218" i="34" s="1"/>
  <c r="J198" i="34"/>
  <c r="J184" i="36"/>
  <c r="F109" i="37"/>
  <c r="C79" i="34"/>
  <c r="H166" i="34"/>
  <c r="J195" i="34"/>
  <c r="I79" i="34"/>
  <c r="G32" i="36"/>
  <c r="G41" i="36"/>
  <c r="G49" i="36"/>
  <c r="G54" i="36"/>
  <c r="G58" i="36"/>
  <c r="G65" i="36"/>
  <c r="D177" i="36"/>
  <c r="D183" i="36" s="1"/>
  <c r="I177" i="36"/>
  <c r="I183" i="36" s="1"/>
  <c r="G89" i="36"/>
  <c r="G97" i="36"/>
  <c r="G110" i="36"/>
  <c r="G151" i="36"/>
  <c r="G158" i="36"/>
  <c r="G27" i="37"/>
  <c r="G71" i="37"/>
  <c r="G77" i="37"/>
  <c r="K110" i="37"/>
  <c r="G86" i="37"/>
  <c r="G89" i="37"/>
  <c r="G101" i="37"/>
  <c r="G103" i="37"/>
  <c r="S27" i="21"/>
  <c r="P101" i="13"/>
  <c r="P102" i="13"/>
  <c r="P104" i="13"/>
  <c r="P106" i="13"/>
  <c r="P110" i="13"/>
  <c r="P112" i="13"/>
  <c r="P114" i="13"/>
  <c r="P118" i="13"/>
  <c r="P120" i="13"/>
  <c r="P130" i="13"/>
  <c r="P132" i="13"/>
  <c r="P154" i="13"/>
  <c r="P158" i="13"/>
  <c r="P107" i="13"/>
  <c r="P119" i="13"/>
  <c r="P121" i="13"/>
  <c r="P123" i="13"/>
  <c r="P129" i="13"/>
  <c r="P139" i="13"/>
  <c r="P141" i="13"/>
  <c r="P149" i="13"/>
  <c r="P153" i="13"/>
  <c r="P100" i="13"/>
  <c r="H31" i="39"/>
  <c r="H35" i="39"/>
  <c r="H39" i="39"/>
  <c r="D30" i="40"/>
  <c r="D33" i="40" s="1"/>
  <c r="G146" i="2" s="1"/>
  <c r="L214" i="2"/>
  <c r="I26" i="5"/>
  <c r="S17" i="21"/>
  <c r="H32" i="39"/>
  <c r="H36" i="39"/>
  <c r="H40" i="39"/>
  <c r="H34" i="39"/>
  <c r="P131" i="13"/>
  <c r="P133" i="13"/>
  <c r="P135" i="13"/>
  <c r="P159" i="13"/>
  <c r="I18" i="5"/>
  <c r="P122" i="13"/>
  <c r="P126" i="13"/>
  <c r="P128" i="13"/>
  <c r="P138" i="13"/>
  <c r="P152" i="13"/>
  <c r="P134" i="13"/>
  <c r="P146" i="13"/>
  <c r="P156" i="13"/>
  <c r="S22" i="21"/>
  <c r="P105" i="13"/>
  <c r="P109" i="13"/>
  <c r="P111" i="13"/>
  <c r="P113" i="13"/>
  <c r="P115" i="13"/>
  <c r="P117" i="13"/>
  <c r="P136" i="13"/>
  <c r="P140" i="13"/>
  <c r="P142" i="13"/>
  <c r="P144" i="13"/>
  <c r="P148" i="13"/>
  <c r="P108" i="13"/>
  <c r="P145" i="13"/>
  <c r="P147" i="13"/>
  <c r="P155" i="13"/>
  <c r="H30" i="39"/>
  <c r="H38" i="39"/>
  <c r="H29" i="39"/>
  <c r="G63" i="2"/>
  <c r="L204" i="2" s="1"/>
  <c r="L71" i="2"/>
  <c r="G75" i="2"/>
  <c r="G81" i="2" s="1"/>
  <c r="G65" i="2"/>
  <c r="G73" i="2"/>
  <c r="G157" i="2"/>
  <c r="J54" i="42"/>
  <c r="E21" i="42"/>
  <c r="E22" i="42" s="1"/>
  <c r="E23" i="42" s="1"/>
  <c r="E24" i="42" s="1"/>
  <c r="E25" i="42" s="1"/>
  <c r="E26" i="42" s="1"/>
  <c r="E27" i="42" s="1"/>
  <c r="E28" i="42" s="1"/>
  <c r="E29" i="42" s="1"/>
  <c r="E30" i="42" s="1"/>
  <c r="E31" i="42" s="1"/>
  <c r="E32" i="42" s="1"/>
  <c r="F217" i="2"/>
  <c r="P116" i="13"/>
  <c r="P127" i="13"/>
  <c r="P137" i="13"/>
  <c r="P124" i="13"/>
  <c r="P151" i="13"/>
  <c r="H33" i="39"/>
  <c r="H37" i="39"/>
  <c r="H41" i="39"/>
  <c r="L216" i="2"/>
  <c r="G37" i="36"/>
  <c r="C71" i="36"/>
  <c r="F71" i="36"/>
  <c r="G67" i="36"/>
  <c r="C1031" i="20"/>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C1057" i="20" s="1"/>
  <c r="C1058" i="20" s="1"/>
  <c r="C1059" i="20" s="1"/>
  <c r="C1060" i="20" s="1"/>
  <c r="G12" i="39"/>
  <c r="G23" i="39" s="1"/>
  <c r="L226" i="2"/>
  <c r="I10" i="35"/>
  <c r="M88" i="13"/>
  <c r="N21" i="13" s="1"/>
  <c r="M89" i="13"/>
  <c r="N89" i="13"/>
  <c r="N88" i="13"/>
  <c r="C131" i="20"/>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A27" i="40"/>
  <c r="A28" i="40" s="1"/>
  <c r="A29" i="40" s="1"/>
  <c r="A30" i="40" s="1"/>
  <c r="A33" i="40" s="1"/>
  <c r="E146" i="2" s="1"/>
  <c r="E229" i="2"/>
  <c r="E228" i="2"/>
  <c r="A29" i="39"/>
  <c r="A30" i="39" s="1"/>
  <c r="A31" i="39" s="1"/>
  <c r="A32" i="39" s="1"/>
  <c r="A33" i="39" s="1"/>
  <c r="A34" i="39" s="1"/>
  <c r="A35" i="39" s="1"/>
  <c r="A36" i="39" s="1"/>
  <c r="A37" i="39" s="1"/>
  <c r="A38" i="39" s="1"/>
  <c r="A39" i="39" s="1"/>
  <c r="A40" i="39" s="1"/>
  <c r="A41" i="39" s="1"/>
  <c r="A42" i="39" s="1"/>
  <c r="B74" i="39"/>
  <c r="E227" i="2"/>
  <c r="E226" i="2"/>
  <c r="A13" i="34"/>
  <c r="A14" i="34" s="1"/>
  <c r="H217" i="2"/>
  <c r="B23" i="7"/>
  <c r="A23" i="7"/>
  <c r="E110" i="2" s="1"/>
  <c r="J206" i="34"/>
  <c r="G188" i="34"/>
  <c r="G213" i="34" s="1"/>
  <c r="E164" i="2"/>
  <c r="E161" i="2"/>
  <c r="E165" i="2"/>
  <c r="A48" i="11"/>
  <c r="L227" i="2"/>
  <c r="G234" i="2" s="1"/>
  <c r="J234" i="2" s="1"/>
  <c r="E74" i="39"/>
  <c r="E76" i="39" s="1"/>
  <c r="A84" i="38"/>
  <c r="A87" i="38" s="1"/>
  <c r="E95" i="2"/>
  <c r="E150" i="34"/>
  <c r="E166" i="34"/>
  <c r="H63" i="34"/>
  <c r="H79" i="34"/>
  <c r="I44" i="34"/>
  <c r="I53" i="34" s="1"/>
  <c r="I203" i="34" s="1"/>
  <c r="I52" i="34"/>
  <c r="I131" i="34"/>
  <c r="I140" i="34" s="1"/>
  <c r="I139" i="34"/>
  <c r="H137" i="34"/>
  <c r="H140" i="34" s="1"/>
  <c r="H139" i="34"/>
  <c r="G119" i="34"/>
  <c r="G140" i="34" s="1"/>
  <c r="G139" i="34"/>
  <c r="J118" i="34"/>
  <c r="F199" i="34"/>
  <c r="J193" i="34"/>
  <c r="F188" i="34"/>
  <c r="F213" i="34" s="1"/>
  <c r="G44" i="34"/>
  <c r="G53" i="34" s="1"/>
  <c r="G203" i="34" s="1"/>
  <c r="G52" i="34"/>
  <c r="F38" i="34"/>
  <c r="J37" i="34"/>
  <c r="C50" i="34"/>
  <c r="J49" i="34"/>
  <c r="J31" i="34"/>
  <c r="C32" i="34"/>
  <c r="C52" i="34"/>
  <c r="D71" i="36"/>
  <c r="J71" i="36"/>
  <c r="I72" i="36"/>
  <c r="I71" i="36"/>
  <c r="K72" i="36"/>
  <c r="F177" i="36"/>
  <c r="F183" i="36" s="1"/>
  <c r="G169" i="36"/>
  <c r="G17" i="37"/>
  <c r="C109" i="37"/>
  <c r="B23" i="40"/>
  <c r="I34" i="5"/>
  <c r="I814" i="20"/>
  <c r="I184" i="20"/>
  <c r="I634" i="20"/>
  <c r="I454" i="20"/>
  <c r="I364" i="20"/>
  <c r="I904" i="20"/>
  <c r="I199" i="34"/>
  <c r="J194" i="34"/>
  <c r="E139" i="34"/>
  <c r="J124" i="34"/>
  <c r="A24" i="9"/>
  <c r="A25" i="9" s="1"/>
  <c r="A26" i="9" s="1"/>
  <c r="A27" i="9" s="1"/>
  <c r="A28" i="9" s="1"/>
  <c r="A29" i="9" s="1"/>
  <c r="A30" i="9" s="1"/>
  <c r="A31" i="9" s="1"/>
  <c r="A32" i="9" s="1"/>
  <c r="A33" i="9" s="1"/>
  <c r="E133" i="2"/>
  <c r="G68" i="37"/>
  <c r="A29" i="38"/>
  <c r="A30" i="38" s="1"/>
  <c r="A31" i="38" s="1"/>
  <c r="A32" i="38" s="1"/>
  <c r="A33" i="38" s="1"/>
  <c r="A34" i="38" s="1"/>
  <c r="A35" i="38" s="1"/>
  <c r="A36" i="38" s="1"/>
  <c r="A37" i="38" s="1"/>
  <c r="A38" i="38" s="1"/>
  <c r="A39" i="38" s="1"/>
  <c r="A40" i="38" s="1"/>
  <c r="A41" i="38" s="1"/>
  <c r="A42" i="38" s="1"/>
  <c r="E65" i="2"/>
  <c r="E64" i="2"/>
  <c r="E67" i="2"/>
  <c r="F80" i="38"/>
  <c r="G95" i="2" s="1"/>
  <c r="L95" i="2" s="1"/>
  <c r="A82" i="20"/>
  <c r="I77" i="20"/>
  <c r="E93" i="2"/>
  <c r="J196" i="34"/>
  <c r="J130" i="34"/>
  <c r="J43" i="34"/>
  <c r="E61" i="11"/>
  <c r="E53" i="11"/>
  <c r="P157" i="13"/>
  <c r="K71" i="36"/>
  <c r="G77" i="36"/>
  <c r="C177" i="36"/>
  <c r="C183" i="36" s="1"/>
  <c r="I109" i="37"/>
  <c r="E53" i="34"/>
  <c r="E203" i="34" s="1"/>
  <c r="B17" i="2"/>
  <c r="B18" i="2" s="1"/>
  <c r="B24" i="2" s="1"/>
  <c r="B26" i="2" s="1"/>
  <c r="B27" i="2" s="1"/>
  <c r="E18" i="2"/>
  <c r="A18" i="5"/>
  <c r="J112" i="34"/>
  <c r="H188" i="34"/>
  <c r="H213" i="34" s="1"/>
  <c r="G199" i="34"/>
  <c r="F125" i="34"/>
  <c r="F140" i="34" s="1"/>
  <c r="F139" i="34"/>
  <c r="F48" i="13"/>
  <c r="G48" i="20"/>
  <c r="C23" i="36"/>
  <c r="G17" i="36"/>
  <c r="G84" i="36"/>
  <c r="E55" i="39"/>
  <c r="J14" i="34"/>
  <c r="J63" i="34" s="1"/>
  <c r="P103" i="13"/>
  <c r="P125" i="13"/>
  <c r="P143" i="13"/>
  <c r="P150" i="13"/>
  <c r="G56" i="36"/>
  <c r="G82" i="36"/>
  <c r="G88" i="36"/>
  <c r="G104" i="36"/>
  <c r="G114" i="36"/>
  <c r="G126" i="36"/>
  <c r="K109" i="37"/>
  <c r="G21" i="36"/>
  <c r="G51" i="36"/>
  <c r="G64" i="36"/>
  <c r="G78" i="36"/>
  <c r="G86" i="36"/>
  <c r="G108" i="36"/>
  <c r="G124" i="36"/>
  <c r="G141" i="36"/>
  <c r="G145" i="36"/>
  <c r="G168" i="36"/>
  <c r="G51" i="37"/>
  <c r="G70" i="37"/>
  <c r="D110" i="37"/>
  <c r="G107" i="37"/>
  <c r="G143" i="36"/>
  <c r="G161" i="36"/>
  <c r="G21" i="37"/>
  <c r="G24" i="37"/>
  <c r="G28" i="37"/>
  <c r="G35" i="37"/>
  <c r="G48" i="37"/>
  <c r="G58" i="37"/>
  <c r="G67" i="37"/>
  <c r="G83" i="37"/>
  <c r="G100" i="37"/>
  <c r="G104" i="37"/>
  <c r="H42" i="39" l="1"/>
  <c r="G233" i="2" s="1"/>
  <c r="D35" i="5"/>
  <c r="G100" i="13"/>
  <c r="G197" i="36"/>
  <c r="I229" i="34"/>
  <c r="I234" i="34" s="1"/>
  <c r="I237" i="34" s="1"/>
  <c r="J166" i="34"/>
  <c r="A27" i="6"/>
  <c r="A29" i="6" s="1"/>
  <c r="A30" i="6" s="1"/>
  <c r="A31" i="6" s="1"/>
  <c r="E106" i="2" s="1"/>
  <c r="J50" i="34"/>
  <c r="G97" i="2"/>
  <c r="F53" i="34"/>
  <c r="F203" i="34" s="1"/>
  <c r="E80" i="34"/>
  <c r="J137" i="34"/>
  <c r="C167" i="34"/>
  <c r="C229" i="34"/>
  <c r="C234" i="34" s="1"/>
  <c r="C237" i="34" s="1"/>
  <c r="C151" i="34"/>
  <c r="F202" i="34"/>
  <c r="F214" i="34" s="1"/>
  <c r="F57" i="34"/>
  <c r="F60" i="34" s="1"/>
  <c r="F65" i="34" s="1"/>
  <c r="F66" i="34" s="1"/>
  <c r="F68" i="34" s="1"/>
  <c r="F84" i="34" s="1"/>
  <c r="F87" i="34" s="1"/>
  <c r="F80" i="34"/>
  <c r="H64" i="34"/>
  <c r="H66" i="34" s="1"/>
  <c r="H80" i="34"/>
  <c r="E64" i="34"/>
  <c r="G72" i="36"/>
  <c r="G184" i="36"/>
  <c r="G110" i="37"/>
  <c r="E229" i="34"/>
  <c r="E234" i="34" s="1"/>
  <c r="E237" i="34" s="1"/>
  <c r="J38" i="34"/>
  <c r="F229" i="34"/>
  <c r="G179" i="2"/>
  <c r="G178" i="2"/>
  <c r="C33" i="40"/>
  <c r="C30" i="40"/>
  <c r="J199" i="34"/>
  <c r="L241" i="2" s="1"/>
  <c r="G177" i="36"/>
  <c r="G183" i="36" s="1"/>
  <c r="G71" i="36"/>
  <c r="G229" i="34"/>
  <c r="S33" i="21"/>
  <c r="L187" i="2" s="1"/>
  <c r="G68" i="2"/>
  <c r="I23" i="42"/>
  <c r="L23" i="42" s="1"/>
  <c r="G71" i="2"/>
  <c r="G76" i="2" s="1"/>
  <c r="G80" i="2"/>
  <c r="K48" i="11" s="1"/>
  <c r="K51" i="11" s="1"/>
  <c r="K53" i="11" s="1"/>
  <c r="K55" i="11" s="1"/>
  <c r="K57" i="11" s="1"/>
  <c r="K58" i="11" s="1"/>
  <c r="I21" i="42"/>
  <c r="L21" i="42" s="1"/>
  <c r="I22" i="42"/>
  <c r="L22" i="42" s="1"/>
  <c r="E151" i="34"/>
  <c r="E167" i="34"/>
  <c r="E144" i="34"/>
  <c r="E147" i="34" s="1"/>
  <c r="E152" i="34" s="1"/>
  <c r="E202" i="34"/>
  <c r="C147" i="34"/>
  <c r="C152" i="34" s="1"/>
  <c r="L244" i="2"/>
  <c r="J131" i="34"/>
  <c r="J54" i="35"/>
  <c r="E21" i="35"/>
  <c r="G23" i="36"/>
  <c r="J140" i="34"/>
  <c r="E55" i="11"/>
  <c r="C202" i="34"/>
  <c r="J52" i="34"/>
  <c r="C57" i="34"/>
  <c r="C64" i="34"/>
  <c r="C80" i="34"/>
  <c r="H167" i="34"/>
  <c r="H151" i="34"/>
  <c r="H144" i="34"/>
  <c r="H147" i="34" s="1"/>
  <c r="H152" i="34" s="1"/>
  <c r="J139" i="34"/>
  <c r="A50" i="11"/>
  <c r="A51" i="11" s="1"/>
  <c r="C61" i="11" s="1"/>
  <c r="G216" i="34"/>
  <c r="G218" i="34" s="1"/>
  <c r="A48" i="39"/>
  <c r="A49" i="39" s="1"/>
  <c r="H202" i="34"/>
  <c r="L230" i="2"/>
  <c r="G235" i="2" s="1"/>
  <c r="H216" i="34"/>
  <c r="H218" i="34" s="1"/>
  <c r="E28" i="2"/>
  <c r="B28" i="2"/>
  <c r="B30" i="2" s="1"/>
  <c r="B31" i="2" s="1"/>
  <c r="D30" i="2"/>
  <c r="D34" i="5"/>
  <c r="A186" i="36"/>
  <c r="A188" i="36" s="1"/>
  <c r="A190" i="36" s="1"/>
  <c r="A192" i="36" s="1"/>
  <c r="A193" i="36" s="1"/>
  <c r="A194" i="36" s="1"/>
  <c r="A195" i="36" s="1"/>
  <c r="A196" i="36" s="1"/>
  <c r="A197" i="36" s="1"/>
  <c r="D52" i="5" s="1"/>
  <c r="N22" i="13"/>
  <c r="N23" i="13" s="1"/>
  <c r="M90" i="13"/>
  <c r="J125" i="34"/>
  <c r="A19" i="5"/>
  <c r="A20" i="5" s="1"/>
  <c r="E63" i="11"/>
  <c r="E131" i="2"/>
  <c r="A36" i="9"/>
  <c r="A37" i="9" s="1"/>
  <c r="A38" i="9" s="1"/>
  <c r="A39" i="9" s="1"/>
  <c r="A40" i="9" s="1"/>
  <c r="A41" i="9" s="1"/>
  <c r="A44" i="9" s="1"/>
  <c r="J32" i="34"/>
  <c r="C53" i="34"/>
  <c r="J79" i="34"/>
  <c r="B63" i="34"/>
  <c r="A16" i="34"/>
  <c r="O88" i="13"/>
  <c r="O21" i="13"/>
  <c r="P21" i="13" s="1"/>
  <c r="G57" i="34"/>
  <c r="G60" i="34" s="1"/>
  <c r="G65" i="34" s="1"/>
  <c r="G202" i="34"/>
  <c r="G80" i="34"/>
  <c r="G64" i="34"/>
  <c r="J119" i="34"/>
  <c r="E22" i="13"/>
  <c r="E22" i="20"/>
  <c r="L223" i="2"/>
  <c r="F144" i="34"/>
  <c r="F147" i="34" s="1"/>
  <c r="F152" i="34" s="1"/>
  <c r="F151" i="34"/>
  <c r="F167" i="34"/>
  <c r="J216" i="34"/>
  <c r="H254" i="2" s="1"/>
  <c r="J44" i="34"/>
  <c r="E71" i="2"/>
  <c r="E74" i="2"/>
  <c r="A49" i="38"/>
  <c r="A50" i="38" s="1"/>
  <c r="A51" i="38" s="1"/>
  <c r="A52" i="38" s="1"/>
  <c r="A53" i="38" s="1"/>
  <c r="A54" i="38" s="1"/>
  <c r="A55" i="38" s="1"/>
  <c r="A56" i="38" s="1"/>
  <c r="A57" i="38" s="1"/>
  <c r="A58" i="38" s="1"/>
  <c r="A59" i="38" s="1"/>
  <c r="A60" i="38" s="1"/>
  <c r="A61" i="38" s="1"/>
  <c r="A62" i="38" s="1"/>
  <c r="E73" i="2"/>
  <c r="E75" i="2"/>
  <c r="E72" i="2"/>
  <c r="G109" i="37"/>
  <c r="F216" i="34"/>
  <c r="F218" i="34" s="1"/>
  <c r="G167" i="34"/>
  <c r="G144" i="34"/>
  <c r="G147" i="34" s="1"/>
  <c r="G152" i="34" s="1"/>
  <c r="G151" i="34"/>
  <c r="I167" i="34"/>
  <c r="I151" i="34"/>
  <c r="I144" i="34"/>
  <c r="I147" i="34" s="1"/>
  <c r="I152" i="34" s="1"/>
  <c r="I57" i="34"/>
  <c r="I60" i="34" s="1"/>
  <c r="I65" i="34" s="1"/>
  <c r="I202" i="34"/>
  <c r="I64" i="34"/>
  <c r="I80" i="34"/>
  <c r="L207" i="2"/>
  <c r="L63" i="2" s="1"/>
  <c r="O22" i="13"/>
  <c r="N90" i="13"/>
  <c r="O89" i="13"/>
  <c r="E101" i="13"/>
  <c r="F101" i="13" s="1"/>
  <c r="D102" i="13" s="1"/>
  <c r="H229" i="34"/>
  <c r="C22" i="31"/>
  <c r="E105" i="2" l="1"/>
  <c r="F207" i="34"/>
  <c r="F210" i="34" s="1"/>
  <c r="F215" i="34" s="1"/>
  <c r="F220" i="34" s="1"/>
  <c r="F236" i="34" s="1"/>
  <c r="F230" i="34"/>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G234" i="34"/>
  <c r="G237" i="34" s="1"/>
  <c r="E107" i="2"/>
  <c r="E104" i="2"/>
  <c r="H69" i="34"/>
  <c r="H85" i="34" s="1"/>
  <c r="H70" i="34"/>
  <c r="H86" i="34" s="1"/>
  <c r="J229" i="34"/>
  <c r="E66" i="34"/>
  <c r="F234" i="34"/>
  <c r="F237" i="34" s="1"/>
  <c r="H234" i="34"/>
  <c r="H237" i="34" s="1"/>
  <c r="F69" i="34"/>
  <c r="F85" i="34" s="1"/>
  <c r="I57" i="11"/>
  <c r="I58" i="11" s="1"/>
  <c r="I59" i="11" s="1"/>
  <c r="F219" i="34"/>
  <c r="D20" i="5"/>
  <c r="E57" i="11"/>
  <c r="E58" i="11" s="1"/>
  <c r="G57" i="11"/>
  <c r="K61" i="11"/>
  <c r="K63" i="11" s="1"/>
  <c r="K65" i="11" s="1"/>
  <c r="E67" i="11" s="1"/>
  <c r="E57" i="39"/>
  <c r="G236" i="2"/>
  <c r="H233" i="2" s="1"/>
  <c r="I24" i="42"/>
  <c r="L24" i="42" s="1"/>
  <c r="J233" i="2"/>
  <c r="E21" i="13" s="1"/>
  <c r="G79" i="2"/>
  <c r="J71" i="2"/>
  <c r="O90" i="13"/>
  <c r="G66" i="34"/>
  <c r="G68" i="34" s="1"/>
  <c r="G84" i="34" s="1"/>
  <c r="G87" i="34" s="1"/>
  <c r="I207" i="34"/>
  <c r="I210" i="34" s="1"/>
  <c r="I215" i="34" s="1"/>
  <c r="I220" i="34" s="1"/>
  <c r="I236" i="34" s="1"/>
  <c r="I230" i="34"/>
  <c r="I214" i="34"/>
  <c r="I219" i="34" s="1"/>
  <c r="I153" i="34"/>
  <c r="I155" i="34" s="1"/>
  <c r="I171" i="34" s="1"/>
  <c r="I174" i="34" s="1"/>
  <c r="D206" i="2"/>
  <c r="D205" i="2"/>
  <c r="J218" i="34"/>
  <c r="A23" i="5"/>
  <c r="A25" i="5" s="1"/>
  <c r="E86" i="2"/>
  <c r="F70" i="34"/>
  <c r="F86" i="34" s="1"/>
  <c r="A52" i="11"/>
  <c r="A53" i="11" s="1"/>
  <c r="J151" i="34"/>
  <c r="J167" i="34"/>
  <c r="C207" i="34"/>
  <c r="C214" i="34"/>
  <c r="C219" i="34" s="1"/>
  <c r="C230" i="34"/>
  <c r="E22" i="35"/>
  <c r="I21" i="35"/>
  <c r="E207" i="34"/>
  <c r="E210" i="34" s="1"/>
  <c r="E215" i="34" s="1"/>
  <c r="E220" i="34" s="1"/>
  <c r="E236" i="34" s="1"/>
  <c r="E230" i="34"/>
  <c r="E214" i="34"/>
  <c r="E219" i="34" s="1"/>
  <c r="O23" i="13"/>
  <c r="P22" i="13"/>
  <c r="P23" i="13" s="1"/>
  <c r="H75" i="13"/>
  <c r="G75" i="20"/>
  <c r="J69" i="2"/>
  <c r="I66" i="34"/>
  <c r="I68" i="34" s="1"/>
  <c r="I84" i="34" s="1"/>
  <c r="I87" i="34" s="1"/>
  <c r="F153" i="34"/>
  <c r="F155" i="34" s="1"/>
  <c r="F171" i="34" s="1"/>
  <c r="F174" i="34" s="1"/>
  <c r="A50" i="39"/>
  <c r="A51" i="39" s="1"/>
  <c r="A52" i="39" s="1"/>
  <c r="A53" i="39" s="1"/>
  <c r="A54" i="39" s="1"/>
  <c r="A55" i="39" s="1"/>
  <c r="J144" i="34"/>
  <c r="J147" i="34" s="1"/>
  <c r="J152" i="34" s="1"/>
  <c r="G214" i="34"/>
  <c r="G219" i="34" s="1"/>
  <c r="G230" i="34"/>
  <c r="G207" i="34"/>
  <c r="G210" i="34" s="1"/>
  <c r="G215" i="34" s="1"/>
  <c r="G220" i="34" s="1"/>
  <c r="G236" i="34" s="1"/>
  <c r="B13" i="34"/>
  <c r="A19" i="34"/>
  <c r="A20" i="34" s="1"/>
  <c r="A21" i="34" s="1"/>
  <c r="A22" i="34" s="1"/>
  <c r="A23" i="34" s="1"/>
  <c r="A24" i="34" s="1"/>
  <c r="A25" i="34" s="1"/>
  <c r="C203" i="34"/>
  <c r="J53" i="34"/>
  <c r="J203" i="34" s="1"/>
  <c r="L242" i="2" s="1"/>
  <c r="J252" i="2" s="1"/>
  <c r="C70" i="20"/>
  <c r="D33" i="2"/>
  <c r="C70" i="13"/>
  <c r="B33" i="2"/>
  <c r="B34" i="2" s="1"/>
  <c r="C51" i="11"/>
  <c r="E102" i="13"/>
  <c r="F102" i="13" s="1"/>
  <c r="I25" i="42"/>
  <c r="J64" i="34"/>
  <c r="J202" i="34"/>
  <c r="J80" i="34"/>
  <c r="G101" i="13"/>
  <c r="L209" i="2"/>
  <c r="G153" i="34"/>
  <c r="G155" i="34" s="1"/>
  <c r="G171" i="34" s="1"/>
  <c r="G174" i="34" s="1"/>
  <c r="H68" i="34"/>
  <c r="H84" i="34" s="1"/>
  <c r="H87" i="34" s="1"/>
  <c r="E143" i="2"/>
  <c r="A47" i="9"/>
  <c r="A48" i="9" s="1"/>
  <c r="A49" i="9" s="1"/>
  <c r="A50" i="9" s="1"/>
  <c r="A51" i="9" s="1"/>
  <c r="A52" i="9" s="1"/>
  <c r="A53" i="9" s="1"/>
  <c r="A54" i="9" s="1"/>
  <c r="A55" i="9" s="1"/>
  <c r="A56" i="9" s="1"/>
  <c r="A57" i="9" s="1"/>
  <c r="A58" i="9" s="1"/>
  <c r="A59" i="9" s="1"/>
  <c r="A60" i="9" s="1"/>
  <c r="A61" i="9" s="1"/>
  <c r="A62" i="9" s="1"/>
  <c r="A64" i="9" s="1"/>
  <c r="E65" i="11"/>
  <c r="H230" i="34"/>
  <c r="H207" i="34"/>
  <c r="H210" i="34" s="1"/>
  <c r="H215" i="34" s="1"/>
  <c r="H220" i="34" s="1"/>
  <c r="H236" i="34" s="1"/>
  <c r="H214" i="34"/>
  <c r="H219" i="34" s="1"/>
  <c r="E153" i="34"/>
  <c r="E155" i="34" s="1"/>
  <c r="E171" i="34" s="1"/>
  <c r="E174" i="34" s="1"/>
  <c r="H153" i="34"/>
  <c r="H155" i="34" s="1"/>
  <c r="H171" i="34" s="1"/>
  <c r="H174" i="34" s="1"/>
  <c r="C60" i="34"/>
  <c r="C65" i="34" s="1"/>
  <c r="J57" i="34"/>
  <c r="J60" i="34" s="1"/>
  <c r="J65" i="34" s="1"/>
  <c r="C153" i="34"/>
  <c r="A72" i="6" l="1"/>
  <c r="A73" i="6" s="1"/>
  <c r="A74" i="6" s="1"/>
  <c r="A75" i="6" s="1"/>
  <c r="A76" i="6" s="1"/>
  <c r="A77" i="6" s="1"/>
  <c r="A78" i="6" s="1"/>
  <c r="F235" i="34"/>
  <c r="E70" i="34"/>
  <c r="E86" i="34" s="1"/>
  <c r="E68" i="34"/>
  <c r="E84" i="34" s="1"/>
  <c r="E87" i="34" s="1"/>
  <c r="E235" i="34"/>
  <c r="E69" i="34"/>
  <c r="E85" i="34" s="1"/>
  <c r="I235" i="34"/>
  <c r="I69" i="34"/>
  <c r="I85" i="34" s="1"/>
  <c r="I70" i="34"/>
  <c r="I86" i="34" s="1"/>
  <c r="H235" i="34"/>
  <c r="G70" i="34"/>
  <c r="G86" i="34" s="1"/>
  <c r="H156" i="34"/>
  <c r="H172" i="34" s="1"/>
  <c r="B55" i="39"/>
  <c r="G69" i="34"/>
  <c r="G85" i="34" s="1"/>
  <c r="H157" i="34"/>
  <c r="H173" i="34" s="1"/>
  <c r="F156" i="34"/>
  <c r="F172" i="34" s="1"/>
  <c r="J154" i="2"/>
  <c r="L154" i="2" s="1"/>
  <c r="J72" i="2"/>
  <c r="L72" i="2" s="1"/>
  <c r="M57" i="11"/>
  <c r="I67" i="11"/>
  <c r="I68" i="11" s="1"/>
  <c r="I69" i="11" s="1"/>
  <c r="G67" i="11"/>
  <c r="K67" i="11"/>
  <c r="K68" i="11" s="1"/>
  <c r="H235" i="2"/>
  <c r="H234" i="2"/>
  <c r="L234" i="2" s="1"/>
  <c r="E21" i="20"/>
  <c r="D103" i="13"/>
  <c r="E103" i="13" s="1"/>
  <c r="G102" i="13"/>
  <c r="G82" i="2"/>
  <c r="G48" i="11"/>
  <c r="E156" i="34"/>
  <c r="E172" i="34" s="1"/>
  <c r="E68" i="11"/>
  <c r="G156" i="34"/>
  <c r="G172" i="34" s="1"/>
  <c r="I26" i="42"/>
  <c r="L26" i="42" s="1"/>
  <c r="E59" i="11"/>
  <c r="B79" i="34"/>
  <c r="A28" i="34"/>
  <c r="G235" i="34"/>
  <c r="J153" i="34"/>
  <c r="J155" i="34" s="1"/>
  <c r="J171" i="34" s="1"/>
  <c r="J174" i="34" s="1"/>
  <c r="B36" i="2"/>
  <c r="B39" i="2" s="1"/>
  <c r="B41" i="2" s="1"/>
  <c r="B21" i="2"/>
  <c r="E23" i="35"/>
  <c r="I22" i="35"/>
  <c r="L22" i="35" s="1"/>
  <c r="J234" i="34"/>
  <c r="J237" i="34" s="1"/>
  <c r="G251" i="2"/>
  <c r="C155" i="34"/>
  <c r="C171" i="34" s="1"/>
  <c r="C174" i="34" s="1"/>
  <c r="C156" i="34"/>
  <c r="C172" i="34" s="1"/>
  <c r="A67" i="9"/>
  <c r="A68" i="9" s="1"/>
  <c r="E144" i="2"/>
  <c r="J213" i="2"/>
  <c r="L213" i="2" s="1"/>
  <c r="L217" i="2" s="1"/>
  <c r="L219" i="2" s="1"/>
  <c r="J144" i="2"/>
  <c r="J143" i="2"/>
  <c r="J134" i="2"/>
  <c r="J214" i="34"/>
  <c r="J219" i="34" s="1"/>
  <c r="J230" i="34"/>
  <c r="C66" i="34"/>
  <c r="B57" i="39"/>
  <c r="E223" i="2"/>
  <c r="A57" i="39"/>
  <c r="G157" i="34"/>
  <c r="G173" i="34" s="1"/>
  <c r="C235" i="34"/>
  <c r="A54" i="11"/>
  <c r="A55" i="11" s="1"/>
  <c r="L25" i="42"/>
  <c r="D21" i="20"/>
  <c r="D21" i="13"/>
  <c r="F21" i="13" s="1"/>
  <c r="C157" i="34"/>
  <c r="C173" i="34" s="1"/>
  <c r="J66" i="34"/>
  <c r="J68" i="34" s="1"/>
  <c r="J84" i="34" s="1"/>
  <c r="J87" i="34" s="1"/>
  <c r="I157" i="34"/>
  <c r="I173" i="34" s="1"/>
  <c r="E157" i="34"/>
  <c r="E173" i="34" s="1"/>
  <c r="L21" i="35"/>
  <c r="J207" i="34"/>
  <c r="C210" i="34"/>
  <c r="C215" i="34" s="1"/>
  <c r="C220" i="34" s="1"/>
  <c r="C236" i="34" s="1"/>
  <c r="C53" i="11"/>
  <c r="A26" i="5"/>
  <c r="A27" i="5" s="1"/>
  <c r="A28" i="5" s="1"/>
  <c r="A31" i="5" s="1"/>
  <c r="A33" i="5" s="1"/>
  <c r="F157" i="34"/>
  <c r="F173" i="34" s="1"/>
  <c r="I156" i="34"/>
  <c r="I172" i="34" s="1"/>
  <c r="J157" i="34" l="1"/>
  <c r="J173" i="34" s="1"/>
  <c r="A69" i="9"/>
  <c r="A70" i="9" s="1"/>
  <c r="A72" i="9" s="1"/>
  <c r="E145" i="2" s="1"/>
  <c r="D23" i="20"/>
  <c r="F23" i="20" s="1"/>
  <c r="D22" i="20"/>
  <c r="F22" i="20" s="1"/>
  <c r="D22" i="13"/>
  <c r="F22" i="13" s="1"/>
  <c r="H236" i="2"/>
  <c r="D23" i="13"/>
  <c r="F23" i="13" s="1"/>
  <c r="I235" i="2"/>
  <c r="I233" i="2" s="1"/>
  <c r="L233" i="2" s="1"/>
  <c r="I234" i="2"/>
  <c r="F21" i="20"/>
  <c r="G51" i="11"/>
  <c r="M48" i="11"/>
  <c r="F59" i="13"/>
  <c r="G59" i="20"/>
  <c r="G76" i="20"/>
  <c r="G77" i="20" s="1"/>
  <c r="G78" i="20" s="1"/>
  <c r="G79" i="20" s="1"/>
  <c r="H76" i="13"/>
  <c r="H77" i="13" s="1"/>
  <c r="H78" i="13" s="1"/>
  <c r="H79" i="13" s="1"/>
  <c r="D96" i="13" s="1"/>
  <c r="G252" i="2"/>
  <c r="J235" i="34"/>
  <c r="J146" i="2"/>
  <c r="L146" i="2" s="1"/>
  <c r="J104" i="2"/>
  <c r="L104" i="2" s="1"/>
  <c r="J74" i="2"/>
  <c r="L74" i="2" s="1"/>
  <c r="J66" i="2"/>
  <c r="L66" i="2" s="1"/>
  <c r="J102" i="2"/>
  <c r="L102" i="2" s="1"/>
  <c r="J97" i="2"/>
  <c r="L97" i="2" s="1"/>
  <c r="J161" i="2"/>
  <c r="J73" i="2"/>
  <c r="L73" i="2" s="1"/>
  <c r="J65" i="2"/>
  <c r="L65" i="2" s="1"/>
  <c r="J141" i="2"/>
  <c r="J156" i="2"/>
  <c r="L156" i="2" s="1"/>
  <c r="J155" i="2"/>
  <c r="L155" i="2" s="1"/>
  <c r="J67" i="2"/>
  <c r="L67" i="2" s="1"/>
  <c r="J75" i="2"/>
  <c r="L75" i="2" s="1"/>
  <c r="I27" i="42"/>
  <c r="J69" i="34"/>
  <c r="J85" i="34" s="1"/>
  <c r="C55" i="11"/>
  <c r="A60" i="39"/>
  <c r="A63" i="39" s="1"/>
  <c r="A64" i="39" s="1"/>
  <c r="A65" i="39" s="1"/>
  <c r="A66" i="39" s="1"/>
  <c r="A68" i="39" s="1"/>
  <c r="D233" i="2"/>
  <c r="J64" i="2"/>
  <c r="L64" i="2" s="1"/>
  <c r="J101" i="2"/>
  <c r="L101" i="2" s="1"/>
  <c r="F103" i="13"/>
  <c r="A34" i="5"/>
  <c r="A35" i="5" s="1"/>
  <c r="A36" i="5" s="1"/>
  <c r="A39" i="5" s="1"/>
  <c r="A41" i="5" s="1"/>
  <c r="B42" i="2"/>
  <c r="A29" i="34"/>
  <c r="D28" i="5"/>
  <c r="C56" i="11"/>
  <c r="A56" i="11"/>
  <c r="C68" i="34"/>
  <c r="C84" i="34" s="1"/>
  <c r="C87" i="34" s="1"/>
  <c r="C69" i="34"/>
  <c r="C85" i="34" s="1"/>
  <c r="E24" i="35"/>
  <c r="I23" i="35"/>
  <c r="J156" i="34"/>
  <c r="J172" i="34" s="1"/>
  <c r="E69" i="11"/>
  <c r="E87" i="2"/>
  <c r="L245" i="2"/>
  <c r="L248" i="2" s="1"/>
  <c r="J210" i="34"/>
  <c r="J215" i="34" s="1"/>
  <c r="J220" i="34" s="1"/>
  <c r="H251" i="2"/>
  <c r="J251" i="2" s="1"/>
  <c r="L251" i="2" s="1"/>
  <c r="L254" i="2" s="1"/>
  <c r="C70" i="34"/>
  <c r="C86" i="34" s="1"/>
  <c r="J70" i="34"/>
  <c r="J86" i="34" s="1"/>
  <c r="F24" i="20" l="1"/>
  <c r="F29" i="20" s="1"/>
  <c r="L235" i="2"/>
  <c r="L236" i="2" s="1"/>
  <c r="G170" i="2" s="1"/>
  <c r="F24" i="13"/>
  <c r="E29" i="13" s="1"/>
  <c r="L157" i="2"/>
  <c r="D457" i="20"/>
  <c r="I458" i="20" s="1"/>
  <c r="E461" i="20" s="1"/>
  <c r="F461" i="20" s="1"/>
  <c r="D462" i="20" s="1"/>
  <c r="E462" i="20" s="1"/>
  <c r="D817" i="20"/>
  <c r="I818" i="20" s="1"/>
  <c r="E821" i="20" s="1"/>
  <c r="F821" i="20" s="1"/>
  <c r="D822" i="20" s="1"/>
  <c r="E822" i="20" s="1"/>
  <c r="D547" i="20"/>
  <c r="I548" i="20" s="1"/>
  <c r="E551" i="20" s="1"/>
  <c r="F551" i="20" s="1"/>
  <c r="D552" i="20" s="1"/>
  <c r="E552" i="20" s="1"/>
  <c r="F552" i="20" s="1"/>
  <c r="D553" i="20" s="1"/>
  <c r="D97" i="20"/>
  <c r="I98" i="20" s="1"/>
  <c r="E101" i="20" s="1"/>
  <c r="F101" i="20" s="1"/>
  <c r="D102" i="20" s="1"/>
  <c r="E102" i="20" s="1"/>
  <c r="F102" i="20" s="1"/>
  <c r="D103" i="20" s="1"/>
  <c r="D187" i="20"/>
  <c r="I188" i="20" s="1"/>
  <c r="E191" i="20" s="1"/>
  <c r="F191" i="20" s="1"/>
  <c r="D192" i="20" s="1"/>
  <c r="E192" i="20" s="1"/>
  <c r="F192" i="20" s="1"/>
  <c r="D193" i="20" s="1"/>
  <c r="D907" i="20"/>
  <c r="I908" i="20" s="1"/>
  <c r="E911" i="20" s="1"/>
  <c r="F911" i="20" s="1"/>
  <c r="D912" i="20" s="1"/>
  <c r="E912" i="20" s="1"/>
  <c r="F912" i="20" s="1"/>
  <c r="D913" i="20" s="1"/>
  <c r="D367" i="20"/>
  <c r="I368" i="20" s="1"/>
  <c r="E371" i="20" s="1"/>
  <c r="F371" i="20" s="1"/>
  <c r="D372" i="20" s="1"/>
  <c r="E372" i="20" s="1"/>
  <c r="F372" i="20" s="1"/>
  <c r="D373" i="20" s="1"/>
  <c r="D727" i="20"/>
  <c r="I728" i="20" s="1"/>
  <c r="E731" i="20" s="1"/>
  <c r="F731" i="20" s="1"/>
  <c r="D732" i="20" s="1"/>
  <c r="E732" i="20" s="1"/>
  <c r="F732" i="20" s="1"/>
  <c r="D733" i="20" s="1"/>
  <c r="D277" i="20"/>
  <c r="I278" i="20" s="1"/>
  <c r="E281" i="20" s="1"/>
  <c r="F281" i="20" s="1"/>
  <c r="D282" i="20" s="1"/>
  <c r="E282" i="20" s="1"/>
  <c r="F282" i="20" s="1"/>
  <c r="D283" i="20" s="1"/>
  <c r="D997" i="20"/>
  <c r="I998" i="20" s="1"/>
  <c r="E1001" i="20" s="1"/>
  <c r="F1001" i="20" s="1"/>
  <c r="D1002" i="20" s="1"/>
  <c r="E1002" i="20" s="1"/>
  <c r="D637" i="20"/>
  <c r="I638" i="20" s="1"/>
  <c r="E641" i="20" s="1"/>
  <c r="F641" i="20" s="1"/>
  <c r="D642" i="20" s="1"/>
  <c r="E642" i="20" s="1"/>
  <c r="F642" i="20" s="1"/>
  <c r="D643" i="20" s="1"/>
  <c r="G53" i="11"/>
  <c r="M51" i="11"/>
  <c r="G61" i="11"/>
  <c r="L80" i="2"/>
  <c r="E25" i="35"/>
  <c r="I24" i="35"/>
  <c r="L24" i="35" s="1"/>
  <c r="I28" i="42"/>
  <c r="L28" i="42" s="1"/>
  <c r="E88" i="2"/>
  <c r="L79" i="2"/>
  <c r="L68" i="2"/>
  <c r="J68" i="2" s="1"/>
  <c r="A74" i="39"/>
  <c r="A75" i="39" s="1"/>
  <c r="B50" i="39"/>
  <c r="L27" i="42"/>
  <c r="L81" i="2"/>
  <c r="A30" i="34"/>
  <c r="A31" i="34" s="1"/>
  <c r="A42" i="5"/>
  <c r="A43" i="5" s="1"/>
  <c r="A44" i="5" s="1"/>
  <c r="A47" i="5" s="1"/>
  <c r="A49" i="5" s="1"/>
  <c r="B43" i="2"/>
  <c r="B45" i="2" s="1"/>
  <c r="B63" i="2" s="1"/>
  <c r="L76" i="2"/>
  <c r="D104" i="13"/>
  <c r="G103" i="13"/>
  <c r="G253" i="2"/>
  <c r="J236" i="34"/>
  <c r="L23" i="35"/>
  <c r="A57" i="11"/>
  <c r="C57" i="11"/>
  <c r="D36" i="5"/>
  <c r="L252" i="2"/>
  <c r="H252" i="2"/>
  <c r="B31" i="34" l="1"/>
  <c r="G63" i="11"/>
  <c r="M61" i="11"/>
  <c r="G55" i="11"/>
  <c r="G58" i="11" s="1"/>
  <c r="M58" i="11" s="1"/>
  <c r="M53" i="11"/>
  <c r="E553" i="20"/>
  <c r="F553" i="20" s="1"/>
  <c r="D554" i="20" s="1"/>
  <c r="E193" i="20"/>
  <c r="F193" i="20" s="1"/>
  <c r="D194" i="20" s="1"/>
  <c r="A50" i="5"/>
  <c r="A51" i="5" s="1"/>
  <c r="E913" i="20"/>
  <c r="E224" i="2"/>
  <c r="A76" i="39"/>
  <c r="B76" i="39"/>
  <c r="G64" i="20"/>
  <c r="F64" i="13"/>
  <c r="L82" i="2"/>
  <c r="J82" i="2" s="1"/>
  <c r="I29" i="42"/>
  <c r="G189" i="2"/>
  <c r="F35" i="20"/>
  <c r="E35" i="13"/>
  <c r="L189" i="2"/>
  <c r="A58" i="11"/>
  <c r="C58" i="11"/>
  <c r="L253" i="2"/>
  <c r="H253" i="2"/>
  <c r="D305" i="2"/>
  <c r="F822" i="20"/>
  <c r="D823" i="20" s="1"/>
  <c r="E89" i="2"/>
  <c r="E733" i="20"/>
  <c r="F733" i="20" s="1"/>
  <c r="D734" i="20" s="1"/>
  <c r="E373" i="20"/>
  <c r="F373" i="20" s="1"/>
  <c r="D374" i="20" s="1"/>
  <c r="E643" i="20"/>
  <c r="F643" i="20" s="1"/>
  <c r="D644" i="20" s="1"/>
  <c r="C75" i="20"/>
  <c r="C75" i="13"/>
  <c r="B64" i="2"/>
  <c r="B65" i="2" s="1"/>
  <c r="E204" i="2"/>
  <c r="E283" i="20"/>
  <c r="F283" i="20" s="1"/>
  <c r="D284" i="20" s="1"/>
  <c r="E103" i="20"/>
  <c r="F103" i="20" s="1"/>
  <c r="D104" i="20" s="1"/>
  <c r="F1002" i="20"/>
  <c r="D1003" i="20" s="1"/>
  <c r="E45" i="2"/>
  <c r="E104" i="13"/>
  <c r="F462" i="20"/>
  <c r="D463" i="20" s="1"/>
  <c r="D44" i="5"/>
  <c r="A32" i="34"/>
  <c r="B32" i="34"/>
  <c r="J165" i="2"/>
  <c r="J103" i="2"/>
  <c r="L103" i="2" s="1"/>
  <c r="J105" i="2"/>
  <c r="J142" i="2"/>
  <c r="L142" i="2" s="1"/>
  <c r="E26" i="35"/>
  <c r="I25" i="35"/>
  <c r="G65" i="11" l="1"/>
  <c r="G68" i="11" s="1"/>
  <c r="M68" i="11" s="1"/>
  <c r="M63" i="11"/>
  <c r="E194" i="20"/>
  <c r="F194" i="20" s="1"/>
  <c r="D195" i="20" s="1"/>
  <c r="E644" i="20"/>
  <c r="F644" i="20" s="1"/>
  <c r="D645" i="20" s="1"/>
  <c r="E284" i="20"/>
  <c r="E374" i="20"/>
  <c r="F374" i="20" s="1"/>
  <c r="D375" i="20" s="1"/>
  <c r="A59" i="11"/>
  <c r="A61" i="11" s="1"/>
  <c r="A62" i="11" s="1"/>
  <c r="A63" i="11" s="1"/>
  <c r="C59" i="11"/>
  <c r="E734" i="20"/>
  <c r="F734" i="20" s="1"/>
  <c r="D735" i="20" s="1"/>
  <c r="F913" i="20"/>
  <c r="D914" i="20" s="1"/>
  <c r="L25" i="35"/>
  <c r="B66" i="2"/>
  <c r="B67" i="2" s="1"/>
  <c r="E823" i="20"/>
  <c r="F823" i="20" s="1"/>
  <c r="D824" i="20" s="1"/>
  <c r="A52" i="5"/>
  <c r="E90" i="2" s="1"/>
  <c r="E554" i="20"/>
  <c r="E463" i="20"/>
  <c r="F463" i="20" s="1"/>
  <c r="D464" i="20" s="1"/>
  <c r="E104" i="20"/>
  <c r="F104" i="20" s="1"/>
  <c r="D105" i="20" s="1"/>
  <c r="I30" i="42"/>
  <c r="L30" i="42" s="1"/>
  <c r="E27" i="35"/>
  <c r="I26" i="35"/>
  <c r="L26" i="35" s="1"/>
  <c r="A34" i="34"/>
  <c r="F104" i="13"/>
  <c r="E1003" i="20"/>
  <c r="F1003" i="20" s="1"/>
  <c r="D1004" i="20" s="1"/>
  <c r="L29" i="42"/>
  <c r="J175" i="2"/>
  <c r="L175" i="2" s="1"/>
  <c r="L179" i="2" s="1"/>
  <c r="J178" i="2"/>
  <c r="L178" i="2" s="1"/>
  <c r="J176" i="2"/>
  <c r="L176" i="2" s="1"/>
  <c r="L180" i="2" s="1"/>
  <c r="D51" i="5"/>
  <c r="E195" i="20" l="1"/>
  <c r="F195" i="20" s="1"/>
  <c r="D196" i="20" s="1"/>
  <c r="E645" i="20"/>
  <c r="F645" i="20" s="1"/>
  <c r="D646" i="20" s="1"/>
  <c r="E37" i="13"/>
  <c r="F37" i="20"/>
  <c r="I31" i="42"/>
  <c r="E824" i="20"/>
  <c r="F824" i="20" s="1"/>
  <c r="D825" i="20" s="1"/>
  <c r="E914" i="20"/>
  <c r="F914" i="20" s="1"/>
  <c r="D915" i="20" s="1"/>
  <c r="E735" i="20"/>
  <c r="F735" i="20" s="1"/>
  <c r="D736" i="20" s="1"/>
  <c r="E375" i="20"/>
  <c r="F375" i="20" s="1"/>
  <c r="D376" i="20" s="1"/>
  <c r="E38" i="13"/>
  <c r="F38" i="20"/>
  <c r="A35" i="34"/>
  <c r="F554" i="20"/>
  <c r="D555" i="20" s="1"/>
  <c r="F284" i="20"/>
  <c r="D285" i="20" s="1"/>
  <c r="E1004" i="20"/>
  <c r="F1004" i="20" s="1"/>
  <c r="D1005" i="20" s="1"/>
  <c r="E105" i="20"/>
  <c r="F105" i="20" s="1"/>
  <c r="D106" i="20" s="1"/>
  <c r="E464" i="20"/>
  <c r="F464" i="20" s="1"/>
  <c r="D465" i="20" s="1"/>
  <c r="A64" i="11"/>
  <c r="A65" i="11" s="1"/>
  <c r="F39" i="20"/>
  <c r="E39" i="13"/>
  <c r="D105" i="13"/>
  <c r="G104" i="13"/>
  <c r="E28" i="35"/>
  <c r="I27" i="35"/>
  <c r="L27" i="35" s="1"/>
  <c r="B68" i="2"/>
  <c r="B70" i="2" s="1"/>
  <c r="B71" i="2" s="1"/>
  <c r="E68" i="2"/>
  <c r="C65" i="11" l="1"/>
  <c r="E465" i="20"/>
  <c r="F465" i="20" s="1"/>
  <c r="D466" i="20" s="1"/>
  <c r="E915" i="20"/>
  <c r="F915" i="20" s="1"/>
  <c r="D916" i="20" s="1"/>
  <c r="E106" i="20"/>
  <c r="F106" i="20" s="1"/>
  <c r="D107" i="20" s="1"/>
  <c r="E825" i="20"/>
  <c r="F825" i="20" s="1"/>
  <c r="D826" i="20" s="1"/>
  <c r="E1005" i="20"/>
  <c r="F1005" i="20" s="1"/>
  <c r="D1006" i="20" s="1"/>
  <c r="E736" i="20"/>
  <c r="F736" i="20" s="1"/>
  <c r="D737" i="20" s="1"/>
  <c r="E646" i="20"/>
  <c r="F646" i="20" s="1"/>
  <c r="D647" i="20" s="1"/>
  <c r="B72" i="2"/>
  <c r="B73" i="2" s="1"/>
  <c r="A66" i="11"/>
  <c r="A67" i="11" s="1"/>
  <c r="C68" i="11" s="1"/>
  <c r="C66" i="11"/>
  <c r="E285" i="20"/>
  <c r="F285" i="20" s="1"/>
  <c r="D286" i="20" s="1"/>
  <c r="E555" i="20"/>
  <c r="F555" i="20" s="1"/>
  <c r="D556" i="20" s="1"/>
  <c r="E29" i="35"/>
  <c r="I28" i="35"/>
  <c r="L28" i="35" s="1"/>
  <c r="I32" i="42"/>
  <c r="L32" i="42" s="1"/>
  <c r="E105" i="13"/>
  <c r="F105" i="13" s="1"/>
  <c r="E376" i="20"/>
  <c r="F376" i="20" s="1"/>
  <c r="D377" i="20" s="1"/>
  <c r="E196" i="20"/>
  <c r="F196" i="20" s="1"/>
  <c r="D197" i="20" s="1"/>
  <c r="A36" i="34"/>
  <c r="A37" i="34" s="1"/>
  <c r="L31" i="42"/>
  <c r="I33" i="42" l="1"/>
  <c r="L33" i="42"/>
  <c r="E36" i="42" s="1"/>
  <c r="I36" i="42" s="1"/>
  <c r="L36" i="42" s="1"/>
  <c r="E556" i="20"/>
  <c r="F556" i="20" s="1"/>
  <c r="D557" i="20" s="1"/>
  <c r="E916" i="20"/>
  <c r="F916" i="20" s="1"/>
  <c r="D917" i="20" s="1"/>
  <c r="E647" i="20"/>
  <c r="F647" i="20" s="1"/>
  <c r="D648" i="20" s="1"/>
  <c r="D106" i="13"/>
  <c r="G105" i="13"/>
  <c r="E826" i="20"/>
  <c r="F826" i="20" s="1"/>
  <c r="D827" i="20" s="1"/>
  <c r="E377" i="20"/>
  <c r="F377" i="20" s="1"/>
  <c r="D378" i="20" s="1"/>
  <c r="E197" i="20"/>
  <c r="F197" i="20" s="1"/>
  <c r="D198" i="20" s="1"/>
  <c r="E1006" i="20"/>
  <c r="F1006" i="20" s="1"/>
  <c r="D1007" i="20" s="1"/>
  <c r="B37" i="34"/>
  <c r="E79" i="2"/>
  <c r="A38" i="34"/>
  <c r="B38" i="34"/>
  <c r="E30" i="35"/>
  <c r="I29" i="35"/>
  <c r="L29" i="35" s="1"/>
  <c r="B74" i="2"/>
  <c r="B75" i="2" s="1"/>
  <c r="E737" i="20"/>
  <c r="F737" i="20" s="1"/>
  <c r="D738" i="20" s="1"/>
  <c r="E107" i="20"/>
  <c r="F107" i="20" s="1"/>
  <c r="D108" i="20" s="1"/>
  <c r="E466" i="20"/>
  <c r="F466" i="20" s="1"/>
  <c r="D467" i="20" s="1"/>
  <c r="E286" i="20"/>
  <c r="F286" i="20" s="1"/>
  <c r="D287" i="20" s="1"/>
  <c r="A68" i="11"/>
  <c r="C67" i="11"/>
  <c r="E1007" i="20" l="1"/>
  <c r="F1007" i="20" s="1"/>
  <c r="D1008" i="20" s="1"/>
  <c r="E198" i="20"/>
  <c r="F198" i="20" s="1"/>
  <c r="D199" i="20" s="1"/>
  <c r="E287" i="20"/>
  <c r="F287" i="20" s="1"/>
  <c r="D288" i="20" s="1"/>
  <c r="E648" i="20"/>
  <c r="F648" i="20" s="1"/>
  <c r="D649" i="20" s="1"/>
  <c r="E917" i="20"/>
  <c r="F917" i="20" s="1"/>
  <c r="D918" i="20" s="1"/>
  <c r="E39" i="42"/>
  <c r="J39" i="42"/>
  <c r="E467" i="20"/>
  <c r="F467" i="20" s="1"/>
  <c r="D468" i="20" s="1"/>
  <c r="E738" i="20"/>
  <c r="F738" i="20" s="1"/>
  <c r="D739" i="20" s="1"/>
  <c r="E106" i="13"/>
  <c r="F106" i="13" s="1"/>
  <c r="E108" i="20"/>
  <c r="F108" i="20" s="1"/>
  <c r="D109" i="20" s="1"/>
  <c r="B76" i="2"/>
  <c r="B78" i="2" s="1"/>
  <c r="B79" i="2" s="1"/>
  <c r="E81" i="2"/>
  <c r="E76" i="2"/>
  <c r="A69" i="11"/>
  <c r="C69" i="11"/>
  <c r="E31" i="35"/>
  <c r="I30" i="35"/>
  <c r="L30" i="35" s="1"/>
  <c r="A40" i="34"/>
  <c r="E827" i="20"/>
  <c r="F827" i="20" s="1"/>
  <c r="D828" i="20" s="1"/>
  <c r="E557" i="20"/>
  <c r="F557" i="20" s="1"/>
  <c r="D558" i="20" s="1"/>
  <c r="E378" i="20"/>
  <c r="F378" i="20" s="1"/>
  <c r="D379" i="20" s="1"/>
  <c r="E80" i="2"/>
  <c r="E918" i="20" l="1"/>
  <c r="F918" i="20" s="1"/>
  <c r="E468" i="20"/>
  <c r="F468" i="20" s="1"/>
  <c r="D469" i="20" s="1"/>
  <c r="E828" i="20"/>
  <c r="F828" i="20" s="1"/>
  <c r="D107" i="13"/>
  <c r="G106" i="13"/>
  <c r="E288" i="20"/>
  <c r="F288" i="20" s="1"/>
  <c r="E558" i="20"/>
  <c r="F558" i="20" s="1"/>
  <c r="D559" i="20" s="1"/>
  <c r="E379" i="20"/>
  <c r="F379" i="20" s="1"/>
  <c r="E739" i="20"/>
  <c r="F739" i="20" s="1"/>
  <c r="E1008" i="20"/>
  <c r="F1008" i="20" s="1"/>
  <c r="J40" i="42"/>
  <c r="J41" i="42" s="1"/>
  <c r="J42" i="42" s="1"/>
  <c r="J43" i="42" s="1"/>
  <c r="J44" i="42" s="1"/>
  <c r="J45" i="42" s="1"/>
  <c r="J46" i="42" s="1"/>
  <c r="J47" i="42" s="1"/>
  <c r="J48" i="42" s="1"/>
  <c r="J49" i="42" s="1"/>
  <c r="J50" i="42" s="1"/>
  <c r="E649" i="20"/>
  <c r="F649" i="20" s="1"/>
  <c r="E199" i="20"/>
  <c r="F199" i="20" s="1"/>
  <c r="A41" i="34"/>
  <c r="L39" i="42"/>
  <c r="E40" i="42" s="1"/>
  <c r="I39" i="42"/>
  <c r="E109" i="20"/>
  <c r="F109" i="20" s="1"/>
  <c r="D110" i="20" s="1"/>
  <c r="E32" i="35"/>
  <c r="I32" i="35" s="1"/>
  <c r="I31" i="35"/>
  <c r="L31" i="35" s="1"/>
  <c r="C64" i="20"/>
  <c r="B80" i="2"/>
  <c r="B81" i="2" s="1"/>
  <c r="B82" i="2" s="1"/>
  <c r="C48" i="11" s="1"/>
  <c r="C64" i="13"/>
  <c r="D650" i="20" l="1"/>
  <c r="E650" i="20" s="1"/>
  <c r="F650" i="20" s="1"/>
  <c r="D289" i="20"/>
  <c r="E289" i="20" s="1"/>
  <c r="F289" i="20" s="1"/>
  <c r="D380" i="20"/>
  <c r="E380" i="20" s="1"/>
  <c r="F380" i="20" s="1"/>
  <c r="J53" i="42"/>
  <c r="D1009" i="20"/>
  <c r="D829" i="20"/>
  <c r="D200" i="20"/>
  <c r="D740" i="20"/>
  <c r="D919" i="20"/>
  <c r="E110" i="20"/>
  <c r="F110" i="20" s="1"/>
  <c r="E559" i="20"/>
  <c r="F559" i="20" s="1"/>
  <c r="E469" i="20"/>
  <c r="F469" i="20" s="1"/>
  <c r="D470" i="20" s="1"/>
  <c r="B85" i="2"/>
  <c r="B86" i="2" s="1"/>
  <c r="E107" i="13"/>
  <c r="F107" i="13" s="1"/>
  <c r="L40" i="42"/>
  <c r="E41" i="42" s="1"/>
  <c r="I40" i="42"/>
  <c r="A42" i="34"/>
  <c r="A43" i="34" s="1"/>
  <c r="E82" i="2"/>
  <c r="L32" i="35"/>
  <c r="L33" i="35" s="1"/>
  <c r="E36" i="35" s="1"/>
  <c r="I33" i="35"/>
  <c r="J55" i="42" l="1"/>
  <c r="D111" i="20"/>
  <c r="E111" i="20" s="1"/>
  <c r="F111" i="20" s="1"/>
  <c r="D108" i="13"/>
  <c r="G107" i="13"/>
  <c r="D560" i="20"/>
  <c r="B87" i="2"/>
  <c r="B88" i="2" s="1"/>
  <c r="B89" i="2" s="1"/>
  <c r="B90" i="2" s="1"/>
  <c r="B91" i="2" s="1"/>
  <c r="E200" i="20"/>
  <c r="F200" i="20" s="1"/>
  <c r="E1009" i="20"/>
  <c r="F1009" i="20" s="1"/>
  <c r="D290" i="20"/>
  <c r="A44" i="34"/>
  <c r="B44" i="34"/>
  <c r="D651" i="20"/>
  <c r="E470" i="20"/>
  <c r="F470" i="20" s="1"/>
  <c r="D381" i="20"/>
  <c r="I36" i="35"/>
  <c r="L36" i="35" s="1"/>
  <c r="L41" i="42"/>
  <c r="E42" i="42" s="1"/>
  <c r="I41" i="42"/>
  <c r="E919" i="20"/>
  <c r="F919" i="20" s="1"/>
  <c r="E829" i="20"/>
  <c r="F829" i="20" s="1"/>
  <c r="E740" i="20"/>
  <c r="F740" i="20" s="1"/>
  <c r="B43" i="34"/>
  <c r="D741" i="20" l="1"/>
  <c r="D112" i="20"/>
  <c r="E39" i="35"/>
  <c r="J39" i="35"/>
  <c r="D471" i="20"/>
  <c r="D920" i="20"/>
  <c r="D201" i="20"/>
  <c r="D830" i="20"/>
  <c r="E381" i="20"/>
  <c r="F381" i="20" s="1"/>
  <c r="D1010" i="20"/>
  <c r="B93" i="2"/>
  <c r="B95" i="2" s="1"/>
  <c r="B97" i="2" s="1"/>
  <c r="B99" i="2" s="1"/>
  <c r="B100" i="2" s="1"/>
  <c r="E560" i="20"/>
  <c r="F560" i="20" s="1"/>
  <c r="E290" i="20"/>
  <c r="F290" i="20" s="1"/>
  <c r="A46" i="34"/>
  <c r="E91" i="2"/>
  <c r="L42" i="42"/>
  <c r="E43" i="42" s="1"/>
  <c r="I42" i="42"/>
  <c r="E651" i="20"/>
  <c r="F651" i="20" s="1"/>
  <c r="E108" i="13"/>
  <c r="F108" i="13" s="1"/>
  <c r="D291" i="20" l="1"/>
  <c r="D652" i="20"/>
  <c r="D561" i="20"/>
  <c r="D109" i="13"/>
  <c r="G108" i="13"/>
  <c r="D382" i="20"/>
  <c r="A47" i="34"/>
  <c r="E201" i="20"/>
  <c r="F201" i="20" s="1"/>
  <c r="L39" i="35"/>
  <c r="E40" i="35" s="1"/>
  <c r="I39" i="35"/>
  <c r="L43" i="42"/>
  <c r="E44" i="42" s="1"/>
  <c r="I43" i="42"/>
  <c r="E1010" i="20"/>
  <c r="F1010" i="20" s="1"/>
  <c r="E830" i="20"/>
  <c r="F830" i="20" s="1"/>
  <c r="B101" i="2"/>
  <c r="B102" i="2" s="1"/>
  <c r="B103" i="2" s="1"/>
  <c r="B104" i="2" s="1"/>
  <c r="B105" i="2" s="1"/>
  <c r="B106" i="2" s="1"/>
  <c r="B107" i="2" s="1"/>
  <c r="B108" i="2" s="1"/>
  <c r="B110" i="2" s="1"/>
  <c r="E471" i="20"/>
  <c r="F471" i="20" s="1"/>
  <c r="E920" i="20"/>
  <c r="F920" i="20" s="1"/>
  <c r="J40" i="35"/>
  <c r="J41" i="35" s="1"/>
  <c r="J42" i="35" s="1"/>
  <c r="J43" i="35" s="1"/>
  <c r="J44" i="35" s="1"/>
  <c r="J45" i="35" s="1"/>
  <c r="J46" i="35" s="1"/>
  <c r="J47" i="35" s="1"/>
  <c r="J48" i="35" s="1"/>
  <c r="J49" i="35" s="1"/>
  <c r="J50" i="35" s="1"/>
  <c r="E112" i="20"/>
  <c r="F112" i="20" s="1"/>
  <c r="E741" i="20"/>
  <c r="F741" i="20" s="1"/>
  <c r="D112" i="2" l="1"/>
  <c r="D202" i="20"/>
  <c r="E202" i="20" s="1"/>
  <c r="F202" i="20" s="1"/>
  <c r="D203" i="20" s="1"/>
  <c r="D1011" i="20"/>
  <c r="E1011" i="20" s="1"/>
  <c r="F1011" i="20" s="1"/>
  <c r="D742" i="20"/>
  <c r="D113" i="20"/>
  <c r="D472" i="20"/>
  <c r="D831" i="20"/>
  <c r="D921" i="20"/>
  <c r="L44" i="42"/>
  <c r="E45" i="42" s="1"/>
  <c r="I44" i="42"/>
  <c r="E382" i="20"/>
  <c r="F382" i="20" s="1"/>
  <c r="D383" i="20" s="1"/>
  <c r="B112" i="2"/>
  <c r="D301" i="2"/>
  <c r="A48" i="34"/>
  <c r="A49" i="34" s="1"/>
  <c r="E108" i="2"/>
  <c r="E652" i="20"/>
  <c r="F652" i="20" s="1"/>
  <c r="E291" i="20"/>
  <c r="F291" i="20" s="1"/>
  <c r="D292" i="20" s="1"/>
  <c r="J53" i="35"/>
  <c r="L40" i="35"/>
  <c r="E41" i="35" s="1"/>
  <c r="I40" i="35"/>
  <c r="E109" i="13"/>
  <c r="F109" i="13" s="1"/>
  <c r="E561" i="20"/>
  <c r="F561" i="20" s="1"/>
  <c r="J55" i="35" l="1"/>
  <c r="B49" i="34"/>
  <c r="D562" i="20"/>
  <c r="E562" i="20" s="1"/>
  <c r="F562" i="20" s="1"/>
  <c r="D1012" i="20"/>
  <c r="E1012" i="20" s="1"/>
  <c r="F1012" i="20" s="1"/>
  <c r="D653" i="20"/>
  <c r="D110" i="13"/>
  <c r="G109" i="13"/>
  <c r="E831" i="20"/>
  <c r="F831" i="20" s="1"/>
  <c r="E292" i="20"/>
  <c r="F292" i="20" s="1"/>
  <c r="D293" i="20" s="1"/>
  <c r="A50" i="34"/>
  <c r="B52" i="34"/>
  <c r="B50" i="34"/>
  <c r="B127" i="2"/>
  <c r="C28" i="20"/>
  <c r="C28" i="13"/>
  <c r="E742" i="20"/>
  <c r="F742" i="20" s="1"/>
  <c r="D743" i="20" s="1"/>
  <c r="E203" i="20"/>
  <c r="F203" i="20" s="1"/>
  <c r="E383" i="20"/>
  <c r="F383" i="20" s="1"/>
  <c r="E921" i="20"/>
  <c r="F921" i="20" s="1"/>
  <c r="E472" i="20"/>
  <c r="F472" i="20" s="1"/>
  <c r="L41" i="35"/>
  <c r="E42" i="35" s="1"/>
  <c r="I41" i="35"/>
  <c r="L45" i="42"/>
  <c r="E46" i="42" s="1"/>
  <c r="I45" i="42"/>
  <c r="E113" i="20"/>
  <c r="F113" i="20" s="1"/>
  <c r="D114" i="20" l="1"/>
  <c r="E114" i="20" s="1"/>
  <c r="F114" i="20" s="1"/>
  <c r="D563" i="20"/>
  <c r="E563" i="20" s="1"/>
  <c r="F563" i="20" s="1"/>
  <c r="D564" i="20" s="1"/>
  <c r="D204" i="20"/>
  <c r="E204" i="20" s="1"/>
  <c r="F204" i="20" s="1"/>
  <c r="D205" i="20" s="1"/>
  <c r="D473" i="20"/>
  <c r="E473" i="20" s="1"/>
  <c r="F473" i="20" s="1"/>
  <c r="D474" i="20" s="1"/>
  <c r="D1013" i="20"/>
  <c r="D832" i="20"/>
  <c r="D384" i="20"/>
  <c r="D922" i="20"/>
  <c r="L46" i="42"/>
  <c r="E47" i="42" s="1"/>
  <c r="I46" i="42"/>
  <c r="E110" i="13"/>
  <c r="F110" i="13" s="1"/>
  <c r="E293" i="20"/>
  <c r="F293" i="20" s="1"/>
  <c r="B128" i="2"/>
  <c r="B129" i="2" s="1"/>
  <c r="E130" i="2" s="1"/>
  <c r="L42" i="35"/>
  <c r="E43" i="35" s="1"/>
  <c r="I42" i="35"/>
  <c r="E743" i="20"/>
  <c r="F743" i="20" s="1"/>
  <c r="A52" i="34"/>
  <c r="B53" i="34"/>
  <c r="E653" i="20"/>
  <c r="F653" i="20" s="1"/>
  <c r="D654" i="20" l="1"/>
  <c r="E654" i="20" s="1"/>
  <c r="F654" i="20" s="1"/>
  <c r="D294" i="20"/>
  <c r="D111" i="13"/>
  <c r="G110" i="13"/>
  <c r="D744" i="20"/>
  <c r="D115" i="20"/>
  <c r="B130" i="2"/>
  <c r="B131" i="2" s="1"/>
  <c r="L47" i="42"/>
  <c r="E48" i="42" s="1"/>
  <c r="I47" i="42"/>
  <c r="E832" i="20"/>
  <c r="F832" i="20" s="1"/>
  <c r="D833" i="20" s="1"/>
  <c r="E205" i="20"/>
  <c r="F205" i="20" s="1"/>
  <c r="D206" i="20" s="1"/>
  <c r="E474" i="20"/>
  <c r="F474" i="20" s="1"/>
  <c r="D475" i="20" s="1"/>
  <c r="E1013" i="20"/>
  <c r="F1013" i="20" s="1"/>
  <c r="D1014" i="20" s="1"/>
  <c r="B64" i="34"/>
  <c r="A53" i="34"/>
  <c r="B57" i="34"/>
  <c r="E384" i="20"/>
  <c r="F384" i="20" s="1"/>
  <c r="E564" i="20"/>
  <c r="F564" i="20" s="1"/>
  <c r="E922" i="20"/>
  <c r="F922" i="20" s="1"/>
  <c r="L43" i="35"/>
  <c r="E44" i="35" s="1"/>
  <c r="I43" i="35"/>
  <c r="D923" i="20" l="1"/>
  <c r="D655" i="20"/>
  <c r="D565" i="20"/>
  <c r="D385" i="20"/>
  <c r="B80" i="34"/>
  <c r="A56" i="34"/>
  <c r="B203" i="34"/>
  <c r="E1014" i="20"/>
  <c r="F1014" i="20" s="1"/>
  <c r="E206" i="20"/>
  <c r="F206" i="20" s="1"/>
  <c r="D207" i="20" s="1"/>
  <c r="L44" i="35"/>
  <c r="E45" i="35" s="1"/>
  <c r="I44" i="35"/>
  <c r="E833" i="20"/>
  <c r="F833" i="20" s="1"/>
  <c r="D834" i="20" s="1"/>
  <c r="L48" i="42"/>
  <c r="E49" i="42" s="1"/>
  <c r="I48" i="42"/>
  <c r="D296" i="2"/>
  <c r="B132" i="2"/>
  <c r="E41" i="2"/>
  <c r="E475" i="20"/>
  <c r="F475" i="20" s="1"/>
  <c r="E111" i="13"/>
  <c r="F111" i="13" s="1"/>
  <c r="E744" i="20"/>
  <c r="F744" i="20" s="1"/>
  <c r="E115" i="20"/>
  <c r="F115" i="20" s="1"/>
  <c r="D116" i="20" s="1"/>
  <c r="E294" i="20"/>
  <c r="F294" i="20" s="1"/>
  <c r="D476" i="20" l="1"/>
  <c r="E476" i="20" s="1"/>
  <c r="F476" i="20" s="1"/>
  <c r="D477" i="20" s="1"/>
  <c r="D112" i="13"/>
  <c r="E112" i="13" s="1"/>
  <c r="F112" i="13" s="1"/>
  <c r="G111" i="13"/>
  <c r="D295" i="20"/>
  <c r="E295" i="20" s="1"/>
  <c r="F295" i="20" s="1"/>
  <c r="D745" i="20"/>
  <c r="D1015" i="20"/>
  <c r="E116" i="20"/>
  <c r="F116" i="20" s="1"/>
  <c r="E834" i="20"/>
  <c r="F834" i="20" s="1"/>
  <c r="E207" i="20"/>
  <c r="F207" i="20" s="1"/>
  <c r="E565" i="20"/>
  <c r="F565" i="20" s="1"/>
  <c r="L45" i="35"/>
  <c r="E46" i="35" s="1"/>
  <c r="I45" i="35"/>
  <c r="E655" i="20"/>
  <c r="F655" i="20" s="1"/>
  <c r="B133" i="2"/>
  <c r="E134" i="2" s="1"/>
  <c r="A57" i="34"/>
  <c r="A58" i="34" s="1"/>
  <c r="E385" i="20"/>
  <c r="F385" i="20" s="1"/>
  <c r="L49" i="42"/>
  <c r="E50" i="42" s="1"/>
  <c r="I49" i="42"/>
  <c r="E923" i="20"/>
  <c r="F923" i="20" s="1"/>
  <c r="D566" i="20" l="1"/>
  <c r="D208" i="20"/>
  <c r="D386" i="20"/>
  <c r="D924" i="20"/>
  <c r="D296" i="20"/>
  <c r="D113" i="13"/>
  <c r="G112" i="13"/>
  <c r="D835" i="20"/>
  <c r="D656" i="20"/>
  <c r="D117" i="20"/>
  <c r="L50" i="42"/>
  <c r="I50" i="42"/>
  <c r="I51" i="42" s="1"/>
  <c r="A59" i="34"/>
  <c r="D298" i="2"/>
  <c r="B134" i="2"/>
  <c r="E1015" i="20"/>
  <c r="F1015" i="20" s="1"/>
  <c r="D1016" i="20" s="1"/>
  <c r="L46" i="35"/>
  <c r="E47" i="35" s="1"/>
  <c r="I46" i="35"/>
  <c r="E477" i="20"/>
  <c r="F477" i="20" s="1"/>
  <c r="D478" i="20" s="1"/>
  <c r="E745" i="20"/>
  <c r="F745" i="20" s="1"/>
  <c r="D746" i="20" s="1"/>
  <c r="E296" i="20" l="1"/>
  <c r="F296" i="20" s="1"/>
  <c r="L47" i="35"/>
  <c r="E48" i="35" s="1"/>
  <c r="I47" i="35"/>
  <c r="E117" i="20"/>
  <c r="F117" i="20" s="1"/>
  <c r="E113" i="13"/>
  <c r="F113" i="13" s="1"/>
  <c r="D114" i="13" s="1"/>
  <c r="E208" i="20"/>
  <c r="F208" i="20" s="1"/>
  <c r="E746" i="20"/>
  <c r="F746" i="20" s="1"/>
  <c r="D747" i="20" s="1"/>
  <c r="B136" i="2"/>
  <c r="D295" i="2"/>
  <c r="E100" i="2"/>
  <c r="E656" i="20"/>
  <c r="F656" i="20" s="1"/>
  <c r="E566" i="20"/>
  <c r="F566" i="20" s="1"/>
  <c r="E478" i="20"/>
  <c r="F478" i="20" s="1"/>
  <c r="D479" i="20" s="1"/>
  <c r="E1016" i="20"/>
  <c r="F1016" i="20" s="1"/>
  <c r="D1017" i="20" s="1"/>
  <c r="E386" i="20"/>
  <c r="F386" i="20" s="1"/>
  <c r="A60" i="34"/>
  <c r="E835" i="20"/>
  <c r="F835" i="20" s="1"/>
  <c r="E924" i="20"/>
  <c r="F924" i="20" s="1"/>
  <c r="D836" i="20" l="1"/>
  <c r="E836" i="20" s="1"/>
  <c r="F836" i="20" s="1"/>
  <c r="D925" i="20"/>
  <c r="E925" i="20" s="1"/>
  <c r="F925" i="20" s="1"/>
  <c r="D387" i="20"/>
  <c r="E387" i="20" s="1"/>
  <c r="F387" i="20" s="1"/>
  <c r="D388" i="20" s="1"/>
  <c r="D297" i="20"/>
  <c r="E297" i="20" s="1"/>
  <c r="F297" i="20" s="1"/>
  <c r="D298" i="20" s="1"/>
  <c r="D209" i="20"/>
  <c r="D118" i="20"/>
  <c r="D567" i="20"/>
  <c r="D657" i="20"/>
  <c r="E1017" i="20"/>
  <c r="F1017" i="20" s="1"/>
  <c r="D1018" i="20" s="1"/>
  <c r="E479" i="20"/>
  <c r="F479" i="20" s="1"/>
  <c r="D480" i="20" s="1"/>
  <c r="B137" i="2"/>
  <c r="A63" i="34"/>
  <c r="B65" i="34"/>
  <c r="E747" i="20"/>
  <c r="F747" i="20" s="1"/>
  <c r="D748" i="20" s="1"/>
  <c r="E114" i="13"/>
  <c r="F114" i="13" s="1"/>
  <c r="G113" i="13"/>
  <c r="L48" i="35"/>
  <c r="E49" i="35" s="1"/>
  <c r="I48" i="35"/>
  <c r="D115" i="13" l="1"/>
  <c r="G114" i="13"/>
  <c r="D837" i="20"/>
  <c r="D926" i="20"/>
  <c r="B138" i="2"/>
  <c r="B139" i="2" s="1"/>
  <c r="B140" i="2" s="1"/>
  <c r="B141" i="2" s="1"/>
  <c r="E142" i="2"/>
  <c r="E1018" i="20"/>
  <c r="F1018" i="20" s="1"/>
  <c r="D1019" i="20" s="1"/>
  <c r="E118" i="20"/>
  <c r="F118" i="20" s="1"/>
  <c r="D119" i="20" s="1"/>
  <c r="E748" i="20"/>
  <c r="F748" i="20" s="1"/>
  <c r="A64" i="34"/>
  <c r="E388" i="20"/>
  <c r="F388" i="20" s="1"/>
  <c r="E480" i="20"/>
  <c r="F480" i="20" s="1"/>
  <c r="D481" i="20" s="1"/>
  <c r="L49" i="35"/>
  <c r="E50" i="35" s="1"/>
  <c r="I49" i="35"/>
  <c r="E298" i="20"/>
  <c r="F298" i="20" s="1"/>
  <c r="D299" i="20" s="1"/>
  <c r="E657" i="20"/>
  <c r="F657" i="20" s="1"/>
  <c r="D658" i="20" s="1"/>
  <c r="E567" i="20"/>
  <c r="F567" i="20" s="1"/>
  <c r="E209" i="20"/>
  <c r="F209" i="20" s="1"/>
  <c r="E141" i="2" l="1"/>
  <c r="D210" i="20"/>
  <c r="E210" i="20" s="1"/>
  <c r="F210" i="20" s="1"/>
  <c r="D211" i="20" s="1"/>
  <c r="D568" i="20"/>
  <c r="D389" i="20"/>
  <c r="D749" i="20"/>
  <c r="E1019" i="20"/>
  <c r="F1019" i="20" s="1"/>
  <c r="E926" i="20"/>
  <c r="F926" i="20" s="1"/>
  <c r="E119" i="20"/>
  <c r="F119" i="20" s="1"/>
  <c r="E658" i="20"/>
  <c r="F658" i="20" s="1"/>
  <c r="D659" i="20" s="1"/>
  <c r="E299" i="20"/>
  <c r="F299" i="20" s="1"/>
  <c r="L50" i="35"/>
  <c r="I50" i="35"/>
  <c r="I51" i="35" s="1"/>
  <c r="E481" i="20"/>
  <c r="F481" i="20" s="1"/>
  <c r="D482" i="20" s="1"/>
  <c r="A65" i="34"/>
  <c r="B142" i="2"/>
  <c r="B143" i="2" s="1"/>
  <c r="B144" i="2" s="1"/>
  <c r="B145" i="2" s="1"/>
  <c r="B146" i="2" s="1"/>
  <c r="B147" i="2" s="1"/>
  <c r="E837" i="20"/>
  <c r="F837" i="20" s="1"/>
  <c r="D838" i="20" s="1"/>
  <c r="E115" i="13"/>
  <c r="F115" i="13" s="1"/>
  <c r="D116" i="13" s="1"/>
  <c r="D1020" i="20" l="1"/>
  <c r="D300" i="20"/>
  <c r="D120" i="20"/>
  <c r="D927" i="20"/>
  <c r="E659" i="20"/>
  <c r="F659" i="20" s="1"/>
  <c r="E211" i="20"/>
  <c r="F211" i="20" s="1"/>
  <c r="E116" i="13"/>
  <c r="F116" i="13" s="1"/>
  <c r="D117" i="13" s="1"/>
  <c r="E147" i="2"/>
  <c r="G115" i="13"/>
  <c r="E838" i="20"/>
  <c r="F838" i="20" s="1"/>
  <c r="D299" i="2"/>
  <c r="B149" i="2"/>
  <c r="E149" i="2"/>
  <c r="E389" i="20"/>
  <c r="F389" i="20" s="1"/>
  <c r="A66" i="34"/>
  <c r="E482" i="20"/>
  <c r="F482" i="20" s="1"/>
  <c r="D483" i="20" s="1"/>
  <c r="E749" i="20"/>
  <c r="F749" i="20" s="1"/>
  <c r="D750" i="20" s="1"/>
  <c r="E568" i="20"/>
  <c r="F568" i="20" s="1"/>
  <c r="D569" i="20" s="1"/>
  <c r="D212" i="20" l="1"/>
  <c r="D390" i="20"/>
  <c r="D839" i="20"/>
  <c r="D660" i="20"/>
  <c r="E750" i="20"/>
  <c r="F750" i="20" s="1"/>
  <c r="E300" i="20"/>
  <c r="F300" i="20" s="1"/>
  <c r="B150" i="2"/>
  <c r="E117" i="13"/>
  <c r="F117" i="13" s="1"/>
  <c r="D118" i="13" s="1"/>
  <c r="E120" i="20"/>
  <c r="F120" i="20" s="1"/>
  <c r="A68" i="34"/>
  <c r="B68" i="34"/>
  <c r="B69" i="34"/>
  <c r="E927" i="20"/>
  <c r="F927" i="20" s="1"/>
  <c r="E569" i="20"/>
  <c r="F569" i="20" s="1"/>
  <c r="D570" i="20" s="1"/>
  <c r="E483" i="20"/>
  <c r="F483" i="20" s="1"/>
  <c r="B70" i="34"/>
  <c r="G116" i="13"/>
  <c r="E1020" i="20"/>
  <c r="F1020" i="20" s="1"/>
  <c r="D751" i="20" l="1"/>
  <c r="E751" i="20" s="1"/>
  <c r="F751" i="20" s="1"/>
  <c r="D301" i="20"/>
  <c r="E301" i="20" s="1"/>
  <c r="F301" i="20" s="1"/>
  <c r="D928" i="20"/>
  <c r="D484" i="20"/>
  <c r="D1021" i="20"/>
  <c r="D121" i="20"/>
  <c r="E570" i="20"/>
  <c r="F570" i="20" s="1"/>
  <c r="D571" i="20" s="1"/>
  <c r="E118" i="13"/>
  <c r="F118" i="13" s="1"/>
  <c r="D119" i="13" s="1"/>
  <c r="E660" i="20"/>
  <c r="F660" i="20" s="1"/>
  <c r="A69" i="34"/>
  <c r="D314" i="2"/>
  <c r="C48" i="13"/>
  <c r="C48" i="20"/>
  <c r="D312" i="2"/>
  <c r="B151" i="2"/>
  <c r="E27" i="2"/>
  <c r="D309" i="2"/>
  <c r="E839" i="20"/>
  <c r="F839" i="20" s="1"/>
  <c r="G117" i="13"/>
  <c r="E212" i="20"/>
  <c r="F212" i="20" s="1"/>
  <c r="E151" i="2"/>
  <c r="E390" i="20"/>
  <c r="F390" i="20" s="1"/>
  <c r="D661" i="20" l="1"/>
  <c r="E661" i="20" s="1"/>
  <c r="F661" i="20" s="1"/>
  <c r="D752" i="20"/>
  <c r="E752" i="20" s="1"/>
  <c r="D391" i="20"/>
  <c r="D302" i="20"/>
  <c r="D840" i="20"/>
  <c r="D213" i="20"/>
  <c r="E119" i="13"/>
  <c r="F119" i="13" s="1"/>
  <c r="G118" i="13"/>
  <c r="E1021" i="20"/>
  <c r="F1021" i="20" s="1"/>
  <c r="D1022" i="20" s="1"/>
  <c r="B153" i="2"/>
  <c r="B154" i="2" s="1"/>
  <c r="A70" i="34"/>
  <c r="E571" i="20"/>
  <c r="F571" i="20" s="1"/>
  <c r="D572" i="20" s="1"/>
  <c r="E121" i="20"/>
  <c r="F121" i="20" s="1"/>
  <c r="E484" i="20"/>
  <c r="F484" i="20" s="1"/>
  <c r="E928" i="20"/>
  <c r="F928" i="20" s="1"/>
  <c r="D929" i="20" l="1"/>
  <c r="E929" i="20" s="1"/>
  <c r="F752" i="20"/>
  <c r="D753" i="20" s="1"/>
  <c r="E753" i="20" s="1"/>
  <c r="F753" i="20" s="1"/>
  <c r="D485" i="20"/>
  <c r="D122" i="20"/>
  <c r="D120" i="13"/>
  <c r="G119" i="13"/>
  <c r="D662" i="20"/>
  <c r="B155" i="2"/>
  <c r="B156" i="2" s="1"/>
  <c r="B157" i="2" s="1"/>
  <c r="C59" i="13"/>
  <c r="C59" i="20"/>
  <c r="C76" i="20"/>
  <c r="C76" i="13"/>
  <c r="E31" i="2"/>
  <c r="E1022" i="20"/>
  <c r="F1022" i="20" s="1"/>
  <c r="A72" i="34"/>
  <c r="A74" i="34" s="1"/>
  <c r="A75" i="34" s="1"/>
  <c r="A76" i="34" s="1"/>
  <c r="A79" i="34" s="1"/>
  <c r="E213" i="20"/>
  <c r="F213" i="20" s="1"/>
  <c r="E572" i="20"/>
  <c r="F572" i="20" s="1"/>
  <c r="E302" i="20"/>
  <c r="F302" i="20" s="1"/>
  <c r="E840" i="20"/>
  <c r="F840" i="20" s="1"/>
  <c r="E391" i="20"/>
  <c r="F391" i="20" s="1"/>
  <c r="F929" i="20" l="1"/>
  <c r="D930" i="20" s="1"/>
  <c r="E930" i="20" s="1"/>
  <c r="F930" i="20" s="1"/>
  <c r="D931" i="20" s="1"/>
  <c r="D392" i="20"/>
  <c r="E392" i="20" s="1"/>
  <c r="F392" i="20" s="1"/>
  <c r="D754" i="20"/>
  <c r="D303" i="20"/>
  <c r="D214" i="20"/>
  <c r="D1023" i="20"/>
  <c r="D841" i="20"/>
  <c r="D573" i="20"/>
  <c r="E122" i="20"/>
  <c r="F122" i="20" s="1"/>
  <c r="E120" i="13"/>
  <c r="F120" i="13" s="1"/>
  <c r="A80" i="34"/>
  <c r="B84" i="34"/>
  <c r="B159" i="2"/>
  <c r="B160" i="2" s="1"/>
  <c r="B161" i="2" s="1"/>
  <c r="E157" i="2"/>
  <c r="E662" i="20"/>
  <c r="F662" i="20" s="1"/>
  <c r="E485" i="20"/>
  <c r="F485" i="20" s="1"/>
  <c r="D121" i="13" l="1"/>
  <c r="E121" i="13" s="1"/>
  <c r="F121" i="13" s="1"/>
  <c r="G120" i="13"/>
  <c r="D123" i="20"/>
  <c r="E123" i="20" s="1"/>
  <c r="F123" i="20" s="1"/>
  <c r="D393" i="20"/>
  <c r="D486" i="20"/>
  <c r="D663" i="20"/>
  <c r="A81" i="34"/>
  <c r="B85" i="34"/>
  <c r="E214" i="20"/>
  <c r="F214" i="20" s="1"/>
  <c r="D215" i="20" s="1"/>
  <c r="E573" i="20"/>
  <c r="F573" i="20" s="1"/>
  <c r="E1023" i="20"/>
  <c r="F1023" i="20" s="1"/>
  <c r="E931" i="20"/>
  <c r="F931" i="20" s="1"/>
  <c r="E303" i="20"/>
  <c r="F303" i="20" s="1"/>
  <c r="B162" i="2"/>
  <c r="B163" i="2" s="1"/>
  <c r="B164" i="2" s="1"/>
  <c r="B165" i="2" s="1"/>
  <c r="B166" i="2" s="1"/>
  <c r="E841" i="20"/>
  <c r="F841" i="20" s="1"/>
  <c r="E754" i="20"/>
  <c r="F754" i="20" s="1"/>
  <c r="D755" i="20" s="1"/>
  <c r="E166" i="2" l="1"/>
  <c r="D932" i="20"/>
  <c r="E932" i="20" s="1"/>
  <c r="F932" i="20" s="1"/>
  <c r="D933" i="20" s="1"/>
  <c r="D122" i="13"/>
  <c r="G121" i="13"/>
  <c r="D574" i="20"/>
  <c r="D842" i="20"/>
  <c r="D1024" i="20"/>
  <c r="D304" i="20"/>
  <c r="D124" i="20"/>
  <c r="E486" i="20"/>
  <c r="F486" i="20" s="1"/>
  <c r="E663" i="20"/>
  <c r="F663" i="20" s="1"/>
  <c r="A84" i="34"/>
  <c r="A85" i="34" s="1"/>
  <c r="A86" i="34" s="1"/>
  <c r="A87" i="34" s="1"/>
  <c r="A96" i="34" s="1"/>
  <c r="B86" i="34"/>
  <c r="E755" i="20"/>
  <c r="F755" i="20" s="1"/>
  <c r="E215" i="20"/>
  <c r="F215" i="20" s="1"/>
  <c r="D216" i="20" s="1"/>
  <c r="B168" i="2"/>
  <c r="B169" i="2" s="1"/>
  <c r="E393" i="20"/>
  <c r="F393" i="20" s="1"/>
  <c r="D487" i="20" l="1"/>
  <c r="E487" i="20" s="1"/>
  <c r="F487" i="20" s="1"/>
  <c r="D756" i="20"/>
  <c r="D394" i="20"/>
  <c r="D664" i="20"/>
  <c r="E933" i="20"/>
  <c r="F933" i="20" s="1"/>
  <c r="D934" i="20" s="1"/>
  <c r="E216" i="20"/>
  <c r="F216" i="20" s="1"/>
  <c r="E1024" i="20"/>
  <c r="F1024" i="20" s="1"/>
  <c r="E122" i="13"/>
  <c r="F122" i="13" s="1"/>
  <c r="D123" i="13" s="1"/>
  <c r="D173" i="2"/>
  <c r="B170" i="2"/>
  <c r="E304" i="20"/>
  <c r="F304" i="20" s="1"/>
  <c r="B183" i="34"/>
  <c r="A97" i="34"/>
  <c r="E842" i="20"/>
  <c r="F842" i="20" s="1"/>
  <c r="D843" i="20" s="1"/>
  <c r="E124" i="20"/>
  <c r="F124" i="20" s="1"/>
  <c r="E574" i="20"/>
  <c r="F574" i="20" s="1"/>
  <c r="D575" i="20" s="1"/>
  <c r="D125" i="20" l="1"/>
  <c r="D488" i="20"/>
  <c r="D217" i="20"/>
  <c r="D305" i="20"/>
  <c r="D1025" i="20"/>
  <c r="E575" i="20"/>
  <c r="F575" i="20" s="1"/>
  <c r="B184" i="34"/>
  <c r="A98" i="34"/>
  <c r="E934" i="20"/>
  <c r="F934" i="20" s="1"/>
  <c r="D935" i="20" s="1"/>
  <c r="E843" i="20"/>
  <c r="F843" i="20" s="1"/>
  <c r="G122" i="13"/>
  <c r="E394" i="20"/>
  <c r="F394" i="20" s="1"/>
  <c r="D395" i="20" s="1"/>
  <c r="E123" i="13"/>
  <c r="F123" i="13" s="1"/>
  <c r="D124" i="13" s="1"/>
  <c r="C35" i="20"/>
  <c r="B171" i="2"/>
  <c r="B172" i="2" s="1"/>
  <c r="B173" i="2" s="1"/>
  <c r="C35" i="13"/>
  <c r="E664" i="20"/>
  <c r="F664" i="20" s="1"/>
  <c r="E756" i="20"/>
  <c r="F756" i="20" s="1"/>
  <c r="G123" i="13" l="1"/>
  <c r="D576" i="20"/>
  <c r="D665" i="20"/>
  <c r="D757" i="20"/>
  <c r="D844" i="20"/>
  <c r="B174" i="2"/>
  <c r="E178" i="2" s="1"/>
  <c r="E395" i="20"/>
  <c r="F395" i="20" s="1"/>
  <c r="D396" i="20" s="1"/>
  <c r="E935" i="20"/>
  <c r="F935" i="20" s="1"/>
  <c r="E217" i="20"/>
  <c r="F217" i="20" s="1"/>
  <c r="E305" i="20"/>
  <c r="F305" i="20" s="1"/>
  <c r="D306" i="20" s="1"/>
  <c r="E488" i="20"/>
  <c r="F488" i="20" s="1"/>
  <c r="E124" i="13"/>
  <c r="F124" i="13" s="1"/>
  <c r="D125" i="13" s="1"/>
  <c r="A99" i="34"/>
  <c r="B185" i="34"/>
  <c r="E1025" i="20"/>
  <c r="F1025" i="20" s="1"/>
  <c r="D1026" i="20" s="1"/>
  <c r="E125" i="20"/>
  <c r="F125" i="20" s="1"/>
  <c r="D218" i="20" l="1"/>
  <c r="E218" i="20" s="1"/>
  <c r="F218" i="20" s="1"/>
  <c r="D936" i="20"/>
  <c r="E936" i="20" s="1"/>
  <c r="F936" i="20" s="1"/>
  <c r="D126" i="20"/>
  <c r="D489" i="20"/>
  <c r="E125" i="13"/>
  <c r="F125" i="13" s="1"/>
  <c r="E306" i="20"/>
  <c r="F306" i="20" s="1"/>
  <c r="E396" i="20"/>
  <c r="F396" i="20" s="1"/>
  <c r="E1026" i="20"/>
  <c r="F1026" i="20" s="1"/>
  <c r="E576" i="20"/>
  <c r="F576" i="20" s="1"/>
  <c r="D577" i="20" s="1"/>
  <c r="E844" i="20"/>
  <c r="F844" i="20" s="1"/>
  <c r="D845" i="20" s="1"/>
  <c r="E665" i="20"/>
  <c r="F665" i="20" s="1"/>
  <c r="D666" i="20" s="1"/>
  <c r="A100" i="34"/>
  <c r="A101" i="34" s="1"/>
  <c r="B186" i="34"/>
  <c r="E757" i="20"/>
  <c r="F757" i="20" s="1"/>
  <c r="D758" i="20" s="1"/>
  <c r="G124" i="13"/>
  <c r="B175" i="2"/>
  <c r="D339" i="2"/>
  <c r="D397" i="20" l="1"/>
  <c r="E397" i="20" s="1"/>
  <c r="D219" i="20"/>
  <c r="D307" i="20"/>
  <c r="D1027" i="20"/>
  <c r="D937" i="20"/>
  <c r="D126" i="13"/>
  <c r="G125" i="13"/>
  <c r="E126" i="20"/>
  <c r="F126" i="20" s="1"/>
  <c r="E666" i="20"/>
  <c r="F666" i="20" s="1"/>
  <c r="D667" i="20" s="1"/>
  <c r="E845" i="20"/>
  <c r="F845" i="20" s="1"/>
  <c r="D846" i="20" s="1"/>
  <c r="E489" i="20"/>
  <c r="F489" i="20" s="1"/>
  <c r="D490" i="20" s="1"/>
  <c r="E758" i="20"/>
  <c r="F758" i="20" s="1"/>
  <c r="D759" i="20" s="1"/>
  <c r="E577" i="20"/>
  <c r="F577" i="20" s="1"/>
  <c r="D578" i="20" s="1"/>
  <c r="B176" i="2"/>
  <c r="E179" i="2"/>
  <c r="A103" i="34"/>
  <c r="B150" i="34"/>
  <c r="F397" i="20" l="1"/>
  <c r="D398" i="20" s="1"/>
  <c r="E398" i="20" s="1"/>
  <c r="D127" i="20"/>
  <c r="B177" i="2"/>
  <c r="E180" i="2"/>
  <c r="E759" i="20"/>
  <c r="F759" i="20" s="1"/>
  <c r="D760" i="20" s="1"/>
  <c r="E667" i="20"/>
  <c r="F667" i="20" s="1"/>
  <c r="D668" i="20" s="1"/>
  <c r="E307" i="20"/>
  <c r="F307" i="20" s="1"/>
  <c r="D308" i="20" s="1"/>
  <c r="E578" i="20"/>
  <c r="F578" i="20" s="1"/>
  <c r="D579" i="20" s="1"/>
  <c r="E490" i="20"/>
  <c r="F490" i="20" s="1"/>
  <c r="D491" i="20" s="1"/>
  <c r="E937" i="20"/>
  <c r="F937" i="20" s="1"/>
  <c r="E846" i="20"/>
  <c r="F846" i="20" s="1"/>
  <c r="D847" i="20" s="1"/>
  <c r="E126" i="13"/>
  <c r="F126" i="13" s="1"/>
  <c r="A106" i="34"/>
  <c r="A107" i="34" s="1"/>
  <c r="A108" i="34" s="1"/>
  <c r="A109" i="34" s="1"/>
  <c r="A110" i="34" s="1"/>
  <c r="A111" i="34" s="1"/>
  <c r="A112" i="34" s="1"/>
  <c r="B100" i="34"/>
  <c r="E1027" i="20"/>
  <c r="F1027" i="20" s="1"/>
  <c r="E219" i="20"/>
  <c r="F219" i="20" s="1"/>
  <c r="D220" i="20" s="1"/>
  <c r="F398" i="20" l="1"/>
  <c r="D399" i="20" s="1"/>
  <c r="E399" i="20" s="1"/>
  <c r="F399" i="20" s="1"/>
  <c r="D938" i="20"/>
  <c r="E938" i="20" s="1"/>
  <c r="F938" i="20" s="1"/>
  <c r="D939" i="20" s="1"/>
  <c r="D1028" i="20"/>
  <c r="D127" i="13"/>
  <c r="G126" i="13"/>
  <c r="B166" i="34"/>
  <c r="A115" i="34"/>
  <c r="E847" i="20"/>
  <c r="F847" i="20" s="1"/>
  <c r="E308" i="20"/>
  <c r="F308" i="20" s="1"/>
  <c r="E220" i="20"/>
  <c r="F220" i="20" s="1"/>
  <c r="E491" i="20"/>
  <c r="F491" i="20" s="1"/>
  <c r="E579" i="20"/>
  <c r="F579" i="20" s="1"/>
  <c r="B178" i="2"/>
  <c r="B179" i="2" s="1"/>
  <c r="B180" i="2" s="1"/>
  <c r="B181" i="2" s="1"/>
  <c r="E668" i="20"/>
  <c r="F668" i="20" s="1"/>
  <c r="E760" i="20"/>
  <c r="F760" i="20" s="1"/>
  <c r="D761" i="20" s="1"/>
  <c r="E127" i="20"/>
  <c r="F127" i="20" s="1"/>
  <c r="D848" i="20" l="1"/>
  <c r="E848" i="20" s="1"/>
  <c r="F848" i="20" s="1"/>
  <c r="D849" i="20" s="1"/>
  <c r="D309" i="20"/>
  <c r="E309" i="20" s="1"/>
  <c r="F309" i="20" s="1"/>
  <c r="D310" i="20" s="1"/>
  <c r="D128" i="20"/>
  <c r="D580" i="20"/>
  <c r="D492" i="20"/>
  <c r="D400" i="20"/>
  <c r="D669" i="20"/>
  <c r="D221" i="20"/>
  <c r="E761" i="20"/>
  <c r="F761" i="20" s="1"/>
  <c r="D762" i="20" s="1"/>
  <c r="E939" i="20"/>
  <c r="F939" i="20" s="1"/>
  <c r="D940" i="20" s="1"/>
  <c r="B183" i="2"/>
  <c r="C50" i="20"/>
  <c r="C50" i="13"/>
  <c r="E127" i="13"/>
  <c r="F127" i="13" s="1"/>
  <c r="D128" i="13" s="1"/>
  <c r="E1028" i="20"/>
  <c r="F1028" i="20" s="1"/>
  <c r="D1029" i="20" s="1"/>
  <c r="E181" i="2"/>
  <c r="A116" i="34"/>
  <c r="E1029" i="20" l="1"/>
  <c r="F1029" i="20" s="1"/>
  <c r="E849" i="20"/>
  <c r="F849" i="20" s="1"/>
  <c r="E128" i="13"/>
  <c r="F128" i="13" s="1"/>
  <c r="E492" i="20"/>
  <c r="F492" i="20" s="1"/>
  <c r="G127" i="13"/>
  <c r="E310" i="20"/>
  <c r="F310" i="20" s="1"/>
  <c r="D311" i="20" s="1"/>
  <c r="E940" i="20"/>
  <c r="F940" i="20" s="1"/>
  <c r="D941" i="20" s="1"/>
  <c r="E762" i="20"/>
  <c r="F762" i="20" s="1"/>
  <c r="D763" i="20" s="1"/>
  <c r="E221" i="20"/>
  <c r="F221" i="20" s="1"/>
  <c r="E400" i="20"/>
  <c r="F400" i="20" s="1"/>
  <c r="C49" i="20"/>
  <c r="B185" i="2"/>
  <c r="C49" i="13"/>
  <c r="E177" i="2"/>
  <c r="E580" i="20"/>
  <c r="F580" i="20" s="1"/>
  <c r="A117" i="34"/>
  <c r="A118" i="34" s="1"/>
  <c r="E34" i="2"/>
  <c r="E669" i="20"/>
  <c r="F669" i="20" s="1"/>
  <c r="E128" i="20"/>
  <c r="F128" i="20" s="1"/>
  <c r="D129" i="20" s="1"/>
  <c r="D1030" i="20" l="1"/>
  <c r="E1030" i="20" s="1"/>
  <c r="F1030" i="20" s="1"/>
  <c r="D581" i="20"/>
  <c r="E581" i="20" s="1"/>
  <c r="D850" i="20"/>
  <c r="E850" i="20" s="1"/>
  <c r="F850" i="20" s="1"/>
  <c r="D851" i="20" s="1"/>
  <c r="D401" i="20"/>
  <c r="D670" i="20"/>
  <c r="D222" i="20"/>
  <c r="D493" i="20"/>
  <c r="D129" i="13"/>
  <c r="G128" i="13"/>
  <c r="E941" i="20"/>
  <c r="F941" i="20" s="1"/>
  <c r="D942" i="20" s="1"/>
  <c r="D303" i="2"/>
  <c r="B187" i="2"/>
  <c r="E129" i="20"/>
  <c r="F129" i="20" s="1"/>
  <c r="B118" i="34"/>
  <c r="E763" i="20"/>
  <c r="F763" i="20" s="1"/>
  <c r="D764" i="20" s="1"/>
  <c r="E311" i="20"/>
  <c r="F311" i="20" s="1"/>
  <c r="A119" i="34"/>
  <c r="B119" i="34"/>
  <c r="F581" i="20" l="1"/>
  <c r="D582" i="20" s="1"/>
  <c r="E582" i="20" s="1"/>
  <c r="F582" i="20" s="1"/>
  <c r="D583" i="20" s="1"/>
  <c r="D130" i="20"/>
  <c r="D1031" i="20"/>
  <c r="D312" i="20"/>
  <c r="E493" i="20"/>
  <c r="F493" i="20" s="1"/>
  <c r="E670" i="20"/>
  <c r="F670" i="20" s="1"/>
  <c r="D671" i="20" s="1"/>
  <c r="E129" i="13"/>
  <c r="F129" i="13" s="1"/>
  <c r="D130" i="13" s="1"/>
  <c r="B189" i="2"/>
  <c r="D189" i="2"/>
  <c r="E942" i="20"/>
  <c r="F942" i="20" s="1"/>
  <c r="E764" i="20"/>
  <c r="F764" i="20" s="1"/>
  <c r="D765" i="20" s="1"/>
  <c r="E851" i="20"/>
  <c r="F851" i="20" s="1"/>
  <c r="D852" i="20" s="1"/>
  <c r="A121" i="34"/>
  <c r="E222" i="20"/>
  <c r="F222" i="20" s="1"/>
  <c r="E401" i="20"/>
  <c r="F401" i="20" s="1"/>
  <c r="D402" i="20" s="1"/>
  <c r="D223" i="20" l="1"/>
  <c r="E223" i="20" s="1"/>
  <c r="F223" i="20" s="1"/>
  <c r="D943" i="20"/>
  <c r="E943" i="20" s="1"/>
  <c r="F943" i="20" s="1"/>
  <c r="D944" i="20" s="1"/>
  <c r="D494" i="20"/>
  <c r="E852" i="20"/>
  <c r="F852" i="20" s="1"/>
  <c r="E765" i="20"/>
  <c r="F765" i="20" s="1"/>
  <c r="D766" i="20" s="1"/>
  <c r="E130" i="13"/>
  <c r="F130" i="13" s="1"/>
  <c r="D131" i="13" s="1"/>
  <c r="E583" i="20"/>
  <c r="F583" i="20" s="1"/>
  <c r="E671" i="20"/>
  <c r="F671" i="20" s="1"/>
  <c r="D672" i="20" s="1"/>
  <c r="E1031" i="20"/>
  <c r="F1031" i="20" s="1"/>
  <c r="D1032" i="20" s="1"/>
  <c r="E402" i="20"/>
  <c r="F402" i="20" s="1"/>
  <c r="D403" i="20" s="1"/>
  <c r="A122" i="34"/>
  <c r="B191" i="2"/>
  <c r="D192" i="2"/>
  <c r="G129" i="13"/>
  <c r="E312" i="20"/>
  <c r="F312" i="20" s="1"/>
  <c r="D313" i="20" s="1"/>
  <c r="E130" i="20"/>
  <c r="F130" i="20" s="1"/>
  <c r="D131" i="20" s="1"/>
  <c r="G130" i="13" l="1"/>
  <c r="D584" i="20"/>
  <c r="D224" i="20"/>
  <c r="D853" i="20"/>
  <c r="E944" i="20"/>
  <c r="F944" i="20" s="1"/>
  <c r="D945" i="20" s="1"/>
  <c r="E1032" i="20"/>
  <c r="F1032" i="20" s="1"/>
  <c r="D1033" i="20" s="1"/>
  <c r="E766" i="20"/>
  <c r="F766" i="20" s="1"/>
  <c r="E494" i="20"/>
  <c r="F494" i="20" s="1"/>
  <c r="D495" i="20" s="1"/>
  <c r="E131" i="20"/>
  <c r="F131" i="20" s="1"/>
  <c r="D132" i="20" s="1"/>
  <c r="E313" i="20"/>
  <c r="F313" i="20" s="1"/>
  <c r="D314" i="20" s="1"/>
  <c r="A123" i="34"/>
  <c r="A124" i="34" s="1"/>
  <c r="E403" i="20"/>
  <c r="F403" i="20" s="1"/>
  <c r="E672" i="20"/>
  <c r="F672" i="20" s="1"/>
  <c r="D673" i="20" s="1"/>
  <c r="E131" i="13"/>
  <c r="F131" i="13" s="1"/>
  <c r="B204" i="2"/>
  <c r="E13" i="2"/>
  <c r="D132" i="13" l="1"/>
  <c r="E132" i="13" s="1"/>
  <c r="G131" i="13"/>
  <c r="D404" i="20"/>
  <c r="D767" i="20"/>
  <c r="E673" i="20"/>
  <c r="F673" i="20" s="1"/>
  <c r="E314" i="20"/>
  <c r="F314" i="20" s="1"/>
  <c r="E495" i="20"/>
  <c r="F495" i="20" s="1"/>
  <c r="B205" i="2"/>
  <c r="B206" i="2" s="1"/>
  <c r="B207" i="2" s="1"/>
  <c r="E1033" i="20"/>
  <c r="F1033" i="20" s="1"/>
  <c r="D1034" i="20" s="1"/>
  <c r="E945" i="20"/>
  <c r="F945" i="20" s="1"/>
  <c r="E853" i="20"/>
  <c r="F853" i="20" s="1"/>
  <c r="B124" i="34"/>
  <c r="E132" i="20"/>
  <c r="F132" i="20" s="1"/>
  <c r="E224" i="20"/>
  <c r="F224" i="20" s="1"/>
  <c r="D225" i="20" s="1"/>
  <c r="A125" i="34"/>
  <c r="B125" i="34"/>
  <c r="E584" i="20"/>
  <c r="F584" i="20" s="1"/>
  <c r="F132" i="13" l="1"/>
  <c r="D133" i="13" s="1"/>
  <c r="E133" i="13" s="1"/>
  <c r="F133" i="13" s="1"/>
  <c r="D674" i="20"/>
  <c r="E674" i="20" s="1"/>
  <c r="F674" i="20" s="1"/>
  <c r="D675" i="20" s="1"/>
  <c r="D315" i="20"/>
  <c r="E315" i="20" s="1"/>
  <c r="F315" i="20" s="1"/>
  <c r="D316" i="20" s="1"/>
  <c r="D133" i="20"/>
  <c r="E133" i="20" s="1"/>
  <c r="F133" i="20" s="1"/>
  <c r="D134" i="20" s="1"/>
  <c r="D854" i="20"/>
  <c r="D585" i="20"/>
  <c r="D946" i="20"/>
  <c r="D496" i="20"/>
  <c r="E1034" i="20"/>
  <c r="F1034" i="20" s="1"/>
  <c r="A127" i="34"/>
  <c r="E225" i="20"/>
  <c r="F225" i="20" s="1"/>
  <c r="D226" i="20" s="1"/>
  <c r="E404" i="20"/>
  <c r="F404" i="20" s="1"/>
  <c r="E209" i="2"/>
  <c r="E63" i="2"/>
  <c r="B209" i="2"/>
  <c r="B211" i="2" s="1"/>
  <c r="B212" i="2" s="1"/>
  <c r="B213" i="2" s="1"/>
  <c r="E767" i="20"/>
  <c r="F767" i="20" s="1"/>
  <c r="E207" i="2"/>
  <c r="G132" i="13" l="1"/>
  <c r="D768" i="20"/>
  <c r="E768" i="20" s="1"/>
  <c r="F768" i="20" s="1"/>
  <c r="D405" i="20"/>
  <c r="E405" i="20" s="1"/>
  <c r="D134" i="13"/>
  <c r="G133" i="13"/>
  <c r="D1035" i="20"/>
  <c r="E134" i="20"/>
  <c r="F134" i="20" s="1"/>
  <c r="D135" i="20" s="1"/>
  <c r="A128" i="34"/>
  <c r="E585" i="20"/>
  <c r="F585" i="20" s="1"/>
  <c r="E226" i="20"/>
  <c r="F226" i="20" s="1"/>
  <c r="E496" i="20"/>
  <c r="F496" i="20" s="1"/>
  <c r="D497" i="20" s="1"/>
  <c r="E675" i="20"/>
  <c r="F675" i="20" s="1"/>
  <c r="E316" i="20"/>
  <c r="F316" i="20" s="1"/>
  <c r="B214" i="2"/>
  <c r="B215" i="2" s="1"/>
  <c r="B216" i="2" s="1"/>
  <c r="B217" i="2" s="1"/>
  <c r="B219" i="2" s="1"/>
  <c r="B222" i="2" s="1"/>
  <c r="B223" i="2" s="1"/>
  <c r="E946" i="20"/>
  <c r="F946" i="20" s="1"/>
  <c r="E854" i="20"/>
  <c r="F854" i="20" s="1"/>
  <c r="F405" i="20" l="1"/>
  <c r="D406" i="20" s="1"/>
  <c r="E406" i="20" s="1"/>
  <c r="D586" i="20"/>
  <c r="E586" i="20" s="1"/>
  <c r="F586" i="20" s="1"/>
  <c r="D227" i="20"/>
  <c r="E227" i="20" s="1"/>
  <c r="F227" i="20" s="1"/>
  <c r="D855" i="20"/>
  <c r="D676" i="20"/>
  <c r="D769" i="20"/>
  <c r="D947" i="20"/>
  <c r="D317" i="20"/>
  <c r="B224" i="2"/>
  <c r="B225" i="2" s="1"/>
  <c r="B226" i="2" s="1"/>
  <c r="E497" i="20"/>
  <c r="F497" i="20" s="1"/>
  <c r="A129" i="34"/>
  <c r="A130" i="34" s="1"/>
  <c r="E135" i="20"/>
  <c r="F135" i="20" s="1"/>
  <c r="E1035" i="20"/>
  <c r="F1035" i="20" s="1"/>
  <c r="D1036" i="20" s="1"/>
  <c r="E217" i="2"/>
  <c r="E134" i="13"/>
  <c r="F134" i="13" s="1"/>
  <c r="F406" i="20" l="1"/>
  <c r="D407" i="20" s="1"/>
  <c r="E407" i="20" s="1"/>
  <c r="F407" i="20" s="1"/>
  <c r="D498" i="20"/>
  <c r="E498" i="20" s="1"/>
  <c r="F498" i="20" s="1"/>
  <c r="D587" i="20"/>
  <c r="D135" i="13"/>
  <c r="G134" i="13"/>
  <c r="D228" i="20"/>
  <c r="D136" i="20"/>
  <c r="A131" i="34"/>
  <c r="B131" i="34"/>
  <c r="B227" i="2"/>
  <c r="E1036" i="20"/>
  <c r="F1036" i="20" s="1"/>
  <c r="E769" i="20"/>
  <c r="F769" i="20" s="1"/>
  <c r="D770" i="20" s="1"/>
  <c r="E317" i="20"/>
  <c r="F317" i="20" s="1"/>
  <c r="D318" i="20" s="1"/>
  <c r="E676" i="20"/>
  <c r="F676" i="20" s="1"/>
  <c r="B130" i="34"/>
  <c r="E947" i="20"/>
  <c r="F947" i="20" s="1"/>
  <c r="D948" i="20" s="1"/>
  <c r="E855" i="20"/>
  <c r="F855" i="20" s="1"/>
  <c r="D856" i="20" s="1"/>
  <c r="D677" i="20" l="1"/>
  <c r="E677" i="20" s="1"/>
  <c r="F677" i="20" s="1"/>
  <c r="D1037" i="20"/>
  <c r="D408" i="20"/>
  <c r="D499" i="20"/>
  <c r="A133" i="34"/>
  <c r="E136" i="20"/>
  <c r="F136" i="20" s="1"/>
  <c r="E135" i="13"/>
  <c r="F135" i="13" s="1"/>
  <c r="D136" i="13" s="1"/>
  <c r="E856" i="20"/>
  <c r="F856" i="20" s="1"/>
  <c r="E948" i="20"/>
  <c r="F948" i="20" s="1"/>
  <c r="E318" i="20"/>
  <c r="F318" i="20" s="1"/>
  <c r="E770" i="20"/>
  <c r="F770" i="20" s="1"/>
  <c r="D234" i="2"/>
  <c r="B228" i="2"/>
  <c r="E228" i="20"/>
  <c r="F228" i="20" s="1"/>
  <c r="E587" i="20"/>
  <c r="F587" i="20" s="1"/>
  <c r="D229" i="20" l="1"/>
  <c r="E229" i="20" s="1"/>
  <c r="F229" i="20" s="1"/>
  <c r="D137" i="20"/>
  <c r="E137" i="20" s="1"/>
  <c r="F137" i="20" s="1"/>
  <c r="D771" i="20"/>
  <c r="E771" i="20" s="1"/>
  <c r="F771" i="20" s="1"/>
  <c r="D678" i="20"/>
  <c r="D949" i="20"/>
  <c r="D857" i="20"/>
  <c r="D588" i="20"/>
  <c r="D319" i="20"/>
  <c r="E136" i="13"/>
  <c r="F136" i="13" s="1"/>
  <c r="D137" i="13" s="1"/>
  <c r="A134" i="34"/>
  <c r="E1037" i="20"/>
  <c r="F1037" i="20" s="1"/>
  <c r="B229" i="2"/>
  <c r="B230" i="2" s="1"/>
  <c r="E408" i="20"/>
  <c r="F408" i="20" s="1"/>
  <c r="G135" i="13"/>
  <c r="E499" i="20"/>
  <c r="F499" i="20" s="1"/>
  <c r="E230" i="2" l="1"/>
  <c r="D1038" i="20"/>
  <c r="E1038" i="20" s="1"/>
  <c r="F1038" i="20" s="1"/>
  <c r="D1039" i="20" s="1"/>
  <c r="D230" i="20"/>
  <c r="D409" i="20"/>
  <c r="D138" i="20"/>
  <c r="D500" i="20"/>
  <c r="D772" i="20"/>
  <c r="E137" i="13"/>
  <c r="F137" i="13" s="1"/>
  <c r="D138" i="13" s="1"/>
  <c r="E949" i="20"/>
  <c r="F949" i="20" s="1"/>
  <c r="D950" i="20" s="1"/>
  <c r="A135" i="34"/>
  <c r="A136" i="34" s="1"/>
  <c r="E857" i="20"/>
  <c r="F857" i="20" s="1"/>
  <c r="G136" i="13"/>
  <c r="E588" i="20"/>
  <c r="F588" i="20" s="1"/>
  <c r="D235" i="2"/>
  <c r="B233" i="2"/>
  <c r="E319" i="20"/>
  <c r="F319" i="20" s="1"/>
  <c r="D320" i="20" s="1"/>
  <c r="E678" i="20"/>
  <c r="F678" i="20" s="1"/>
  <c r="D679" i="20" s="1"/>
  <c r="D589" i="20" l="1"/>
  <c r="D858" i="20"/>
  <c r="E679" i="20"/>
  <c r="F679" i="20" s="1"/>
  <c r="E320" i="20"/>
  <c r="F320" i="20" s="1"/>
  <c r="E1039" i="20"/>
  <c r="F1039" i="20" s="1"/>
  <c r="E950" i="20"/>
  <c r="F950" i="20" s="1"/>
  <c r="D951" i="20" s="1"/>
  <c r="E138" i="13"/>
  <c r="F138" i="13" s="1"/>
  <c r="E409" i="20"/>
  <c r="F409" i="20" s="1"/>
  <c r="A137" i="34"/>
  <c r="B139" i="34"/>
  <c r="B137" i="34"/>
  <c r="E138" i="20"/>
  <c r="F138" i="20" s="1"/>
  <c r="B234" i="2"/>
  <c r="B235" i="2" s="1"/>
  <c r="C19" i="20" s="1"/>
  <c r="B136" i="34"/>
  <c r="E500" i="20"/>
  <c r="F500" i="20" s="1"/>
  <c r="G137" i="13"/>
  <c r="E772" i="20"/>
  <c r="F772" i="20" s="1"/>
  <c r="D773" i="20" s="1"/>
  <c r="E230" i="20"/>
  <c r="F230" i="20" s="1"/>
  <c r="D139" i="13" l="1"/>
  <c r="E139" i="13" s="1"/>
  <c r="F139" i="13" s="1"/>
  <c r="G138" i="13"/>
  <c r="D321" i="20"/>
  <c r="D680" i="20"/>
  <c r="D410" i="20"/>
  <c r="D231" i="20"/>
  <c r="D501" i="20"/>
  <c r="D139" i="20"/>
  <c r="D1040" i="20"/>
  <c r="C16" i="20"/>
  <c r="B236" i="2"/>
  <c r="C16" i="13"/>
  <c r="A139" i="34"/>
  <c r="B140" i="34"/>
  <c r="E951" i="20"/>
  <c r="F951" i="20" s="1"/>
  <c r="E589" i="20"/>
  <c r="F589" i="20" s="1"/>
  <c r="E773" i="20"/>
  <c r="F773" i="20" s="1"/>
  <c r="D774" i="20" s="1"/>
  <c r="D350" i="2"/>
  <c r="D236" i="2"/>
  <c r="C19" i="13"/>
  <c r="E858" i="20"/>
  <c r="F858" i="20" s="1"/>
  <c r="D859" i="20" s="1"/>
  <c r="D952" i="20" l="1"/>
  <c r="E952" i="20" s="1"/>
  <c r="D590" i="20"/>
  <c r="E590" i="20" s="1"/>
  <c r="F590" i="20" s="1"/>
  <c r="D140" i="13"/>
  <c r="G139" i="13"/>
  <c r="E680" i="20"/>
  <c r="F680" i="20" s="1"/>
  <c r="E774" i="20"/>
  <c r="F774" i="20" s="1"/>
  <c r="D775" i="20" s="1"/>
  <c r="E1040" i="20"/>
  <c r="F1040" i="20" s="1"/>
  <c r="E410" i="20"/>
  <c r="F410" i="20" s="1"/>
  <c r="E859" i="20"/>
  <c r="F859" i="20" s="1"/>
  <c r="E231" i="20"/>
  <c r="F231" i="20" s="1"/>
  <c r="E139" i="20"/>
  <c r="F139" i="20" s="1"/>
  <c r="B144" i="34"/>
  <c r="B151" i="34"/>
  <c r="A140" i="34"/>
  <c r="B202" i="34"/>
  <c r="B238" i="2"/>
  <c r="B240" i="2"/>
  <c r="B241" i="2" s="1"/>
  <c r="B242" i="2" s="1"/>
  <c r="B243" i="2" s="1"/>
  <c r="B244" i="2" s="1"/>
  <c r="E183" i="2"/>
  <c r="D171" i="2"/>
  <c r="E501" i="20"/>
  <c r="F501" i="20" s="1"/>
  <c r="E321" i="20"/>
  <c r="F321" i="20" s="1"/>
  <c r="F952" i="20" l="1"/>
  <c r="D953" i="20" s="1"/>
  <c r="E953" i="20" s="1"/>
  <c r="F953" i="20" s="1"/>
  <c r="D411" i="20"/>
  <c r="E411" i="20" s="1"/>
  <c r="F411" i="20" s="1"/>
  <c r="D322" i="20"/>
  <c r="E322" i="20" s="1"/>
  <c r="F322" i="20" s="1"/>
  <c r="D232" i="20"/>
  <c r="D591" i="20"/>
  <c r="D502" i="20"/>
  <c r="D1041" i="20"/>
  <c r="D140" i="20"/>
  <c r="D681" i="20"/>
  <c r="D860" i="20"/>
  <c r="B245" i="2"/>
  <c r="B246" i="2" s="1"/>
  <c r="B247" i="2" s="1"/>
  <c r="B248" i="2" s="1"/>
  <c r="B250" i="2" s="1"/>
  <c r="B251" i="2" s="1"/>
  <c r="B252" i="2" s="1"/>
  <c r="B253" i="2" s="1"/>
  <c r="B254" i="2" s="1"/>
  <c r="A143" i="34"/>
  <c r="B167" i="34"/>
  <c r="E140" i="13"/>
  <c r="F140" i="13" s="1"/>
  <c r="E775" i="20"/>
  <c r="F775" i="20" s="1"/>
  <c r="D776" i="20" s="1"/>
  <c r="E248" i="2" l="1"/>
  <c r="D412" i="20"/>
  <c r="D954" i="20"/>
  <c r="D323" i="20"/>
  <c r="D141" i="13"/>
  <c r="G140" i="13"/>
  <c r="A144" i="34"/>
  <c r="A145" i="34" s="1"/>
  <c r="B206" i="34"/>
  <c r="E681" i="20"/>
  <c r="F681" i="20" s="1"/>
  <c r="D682" i="20" s="1"/>
  <c r="E591" i="20"/>
  <c r="F591" i="20" s="1"/>
  <c r="D592" i="20" s="1"/>
  <c r="E860" i="20"/>
  <c r="F860" i="20" s="1"/>
  <c r="D861" i="20" s="1"/>
  <c r="E502" i="20"/>
  <c r="F502" i="20" s="1"/>
  <c r="E776" i="20"/>
  <c r="F776" i="20" s="1"/>
  <c r="D777" i="20" s="1"/>
  <c r="E1041" i="20"/>
  <c r="F1041" i="20" s="1"/>
  <c r="E140" i="20"/>
  <c r="F140" i="20" s="1"/>
  <c r="D141" i="20" s="1"/>
  <c r="E232" i="20"/>
  <c r="F232" i="20" s="1"/>
  <c r="D233" i="20" s="1"/>
  <c r="D1042" i="20" l="1"/>
  <c r="E1042" i="20" s="1"/>
  <c r="F1042" i="20" s="1"/>
  <c r="D503" i="20"/>
  <c r="E503" i="20" s="1"/>
  <c r="F503" i="20" s="1"/>
  <c r="E592" i="20"/>
  <c r="F592" i="20" s="1"/>
  <c r="E777" i="20"/>
  <c r="F777" i="20" s="1"/>
  <c r="E141" i="20"/>
  <c r="F141" i="20" s="1"/>
  <c r="E682" i="20"/>
  <c r="F682" i="20" s="1"/>
  <c r="E323" i="20"/>
  <c r="F323" i="20" s="1"/>
  <c r="E233" i="20"/>
  <c r="F233" i="20" s="1"/>
  <c r="E861" i="20"/>
  <c r="F861" i="20" s="1"/>
  <c r="E954" i="20"/>
  <c r="F954" i="20" s="1"/>
  <c r="A146" i="34"/>
  <c r="B208" i="34"/>
  <c r="E141" i="13"/>
  <c r="F141" i="13" s="1"/>
  <c r="D142" i="13" s="1"/>
  <c r="E412" i="20"/>
  <c r="F412" i="20" s="1"/>
  <c r="D862" i="20" l="1"/>
  <c r="E862" i="20" s="1"/>
  <c r="F862" i="20" s="1"/>
  <c r="D324" i="20"/>
  <c r="E324" i="20" s="1"/>
  <c r="F324" i="20" s="1"/>
  <c r="D683" i="20"/>
  <c r="E683" i="20" s="1"/>
  <c r="F683" i="20" s="1"/>
  <c r="D684" i="20" s="1"/>
  <c r="D504" i="20"/>
  <c r="E504" i="20" s="1"/>
  <c r="F504" i="20" s="1"/>
  <c r="D142" i="20"/>
  <c r="E142" i="20" s="1"/>
  <c r="D234" i="20"/>
  <c r="D778" i="20"/>
  <c r="D593" i="20"/>
  <c r="D413" i="20"/>
  <c r="D955" i="20"/>
  <c r="D1043" i="20"/>
  <c r="E142" i="13"/>
  <c r="F142" i="13" s="1"/>
  <c r="D143" i="13" s="1"/>
  <c r="G141" i="13"/>
  <c r="A147" i="34"/>
  <c r="B209" i="34"/>
  <c r="D863" i="20" l="1"/>
  <c r="E863" i="20" s="1"/>
  <c r="F863" i="20" s="1"/>
  <c r="F142" i="20"/>
  <c r="D143" i="20" s="1"/>
  <c r="E143" i="20" s="1"/>
  <c r="F143" i="20" s="1"/>
  <c r="D505" i="20"/>
  <c r="D325" i="20"/>
  <c r="E684" i="20"/>
  <c r="F684" i="20" s="1"/>
  <c r="E143" i="13"/>
  <c r="F143" i="13" s="1"/>
  <c r="D144" i="13" s="1"/>
  <c r="E593" i="20"/>
  <c r="F593" i="20" s="1"/>
  <c r="E413" i="20"/>
  <c r="F413" i="20" s="1"/>
  <c r="E1043" i="20"/>
  <c r="F1043" i="20" s="1"/>
  <c r="D1044" i="20" s="1"/>
  <c r="E778" i="20"/>
  <c r="F778" i="20" s="1"/>
  <c r="A150" i="34"/>
  <c r="B152" i="34"/>
  <c r="G142" i="13"/>
  <c r="E955" i="20"/>
  <c r="F955" i="20" s="1"/>
  <c r="E234" i="20"/>
  <c r="F234" i="20" s="1"/>
  <c r="D779" i="20" l="1"/>
  <c r="E779" i="20" s="1"/>
  <c r="F779" i="20" s="1"/>
  <c r="D144" i="20"/>
  <c r="E144" i="20" s="1"/>
  <c r="D414" i="20"/>
  <c r="D864" i="20"/>
  <c r="D235" i="20"/>
  <c r="D594" i="20"/>
  <c r="D685" i="20"/>
  <c r="D956" i="20"/>
  <c r="A151" i="34"/>
  <c r="E1044" i="20"/>
  <c r="F1044" i="20" s="1"/>
  <c r="E325" i="20"/>
  <c r="F325" i="20" s="1"/>
  <c r="G143" i="13"/>
  <c r="E144" i="13"/>
  <c r="F144" i="13" s="1"/>
  <c r="E505" i="20"/>
  <c r="F505" i="20" s="1"/>
  <c r="D1045" i="20" l="1"/>
  <c r="E1045" i="20" s="1"/>
  <c r="F1045" i="20" s="1"/>
  <c r="D1046" i="20" s="1"/>
  <c r="F144" i="20"/>
  <c r="D145" i="13"/>
  <c r="G144" i="13"/>
  <c r="D506" i="20"/>
  <c r="D326" i="20"/>
  <c r="D780" i="20"/>
  <c r="E864" i="20"/>
  <c r="F864" i="20" s="1"/>
  <c r="D865" i="20" s="1"/>
  <c r="E235" i="20"/>
  <c r="F235" i="20" s="1"/>
  <c r="E956" i="20"/>
  <c r="F956" i="20" s="1"/>
  <c r="E594" i="20"/>
  <c r="F594" i="20" s="1"/>
  <c r="A152" i="34"/>
  <c r="E685" i="20"/>
  <c r="F685" i="20" s="1"/>
  <c r="E414" i="20"/>
  <c r="F414" i="20" s="1"/>
  <c r="D145" i="20" l="1"/>
  <c r="E145" i="20" s="1"/>
  <c r="F145" i="20" s="1"/>
  <c r="D146" i="20" s="1"/>
  <c r="D415" i="20"/>
  <c r="D236" i="20"/>
  <c r="D957" i="20"/>
  <c r="D686" i="20"/>
  <c r="D595" i="20"/>
  <c r="E865" i="20"/>
  <c r="F865" i="20" s="1"/>
  <c r="E780" i="20"/>
  <c r="F780" i="20" s="1"/>
  <c r="D781" i="20" s="1"/>
  <c r="E506" i="20"/>
  <c r="F506" i="20" s="1"/>
  <c r="E1046" i="20"/>
  <c r="F1046" i="20" s="1"/>
  <c r="E326" i="20"/>
  <c r="F326" i="20" s="1"/>
  <c r="A153" i="34"/>
  <c r="B157" i="34" s="1"/>
  <c r="E145" i="13"/>
  <c r="F145" i="13" s="1"/>
  <c r="D146" i="13" s="1"/>
  <c r="G145" i="13" l="1"/>
  <c r="D1047" i="20"/>
  <c r="D507" i="20"/>
  <c r="D866" i="20"/>
  <c r="D327" i="20"/>
  <c r="E236" i="20"/>
  <c r="F236" i="20" s="1"/>
  <c r="E595" i="20"/>
  <c r="F595" i="20" s="1"/>
  <c r="E146" i="20"/>
  <c r="F146" i="20" s="1"/>
  <c r="E781" i="20"/>
  <c r="F781" i="20" s="1"/>
  <c r="E686" i="20"/>
  <c r="F686" i="20" s="1"/>
  <c r="E146" i="13"/>
  <c r="F146" i="13" s="1"/>
  <c r="A155" i="34"/>
  <c r="B155" i="34"/>
  <c r="B156" i="34"/>
  <c r="E957" i="20"/>
  <c r="F957" i="20" s="1"/>
  <c r="E415" i="20"/>
  <c r="F415" i="20" s="1"/>
  <c r="D596" i="20" l="1"/>
  <c r="E596" i="20" s="1"/>
  <c r="F596" i="20" s="1"/>
  <c r="D597" i="20" s="1"/>
  <c r="D416" i="20"/>
  <c r="E416" i="20" s="1"/>
  <c r="F416" i="20" s="1"/>
  <c r="D147" i="13"/>
  <c r="G146" i="13"/>
  <c r="D958" i="20"/>
  <c r="D687" i="20"/>
  <c r="D782" i="20"/>
  <c r="D147" i="20"/>
  <c r="D237" i="20"/>
  <c r="E507" i="20"/>
  <c r="F507" i="20" s="1"/>
  <c r="D508" i="20" s="1"/>
  <c r="A156" i="34"/>
  <c r="E866" i="20"/>
  <c r="F866" i="20" s="1"/>
  <c r="D867" i="20" s="1"/>
  <c r="E327" i="20"/>
  <c r="F327" i="20" s="1"/>
  <c r="E1047" i="20"/>
  <c r="F1047" i="20" s="1"/>
  <c r="D1048" i="20" l="1"/>
  <c r="E1048" i="20" s="1"/>
  <c r="F1048" i="20" s="1"/>
  <c r="D1049" i="20" s="1"/>
  <c r="D417" i="20"/>
  <c r="D328" i="20"/>
  <c r="E147" i="20"/>
  <c r="F147" i="20" s="1"/>
  <c r="E237" i="20"/>
  <c r="F237" i="20" s="1"/>
  <c r="D238" i="20" s="1"/>
  <c r="E597" i="20"/>
  <c r="F597" i="20" s="1"/>
  <c r="D598" i="20" s="1"/>
  <c r="E508" i="20"/>
  <c r="F508" i="20" s="1"/>
  <c r="D509" i="20" s="1"/>
  <c r="E687" i="20"/>
  <c r="F687" i="20" s="1"/>
  <c r="E867" i="20"/>
  <c r="F867" i="20" s="1"/>
  <c r="A157" i="34"/>
  <c r="E958" i="20"/>
  <c r="F958" i="20" s="1"/>
  <c r="E782" i="20"/>
  <c r="F782" i="20" s="1"/>
  <c r="D783" i="20" s="1"/>
  <c r="E147" i="13"/>
  <c r="F147" i="13" s="1"/>
  <c r="D868" i="20" l="1"/>
  <c r="E868" i="20" s="1"/>
  <c r="F868" i="20" s="1"/>
  <c r="D959" i="20"/>
  <c r="D148" i="20"/>
  <c r="D688" i="20"/>
  <c r="D148" i="13"/>
  <c r="G147" i="13"/>
  <c r="E783" i="20"/>
  <c r="F783" i="20" s="1"/>
  <c r="E509" i="20"/>
  <c r="F509" i="20" s="1"/>
  <c r="D510" i="20" s="1"/>
  <c r="E238" i="20"/>
  <c r="F238" i="20" s="1"/>
  <c r="D239" i="20" s="1"/>
  <c r="E1049" i="20"/>
  <c r="F1049" i="20" s="1"/>
  <c r="E328" i="20"/>
  <c r="F328" i="20" s="1"/>
  <c r="D329" i="20" s="1"/>
  <c r="E598" i="20"/>
  <c r="F598" i="20" s="1"/>
  <c r="A159" i="34"/>
  <c r="A161" i="34" s="1"/>
  <c r="A162" i="34" s="1"/>
  <c r="A163" i="34" s="1"/>
  <c r="A166" i="34" s="1"/>
  <c r="E417" i="20"/>
  <c r="F417" i="20" s="1"/>
  <c r="D418" i="20" s="1"/>
  <c r="D869" i="20" l="1"/>
  <c r="D1050" i="20"/>
  <c r="D784" i="20"/>
  <c r="D599" i="20"/>
  <c r="E418" i="20"/>
  <c r="F418" i="20" s="1"/>
  <c r="D419" i="20" s="1"/>
  <c r="E329" i="20"/>
  <c r="F329" i="20" s="1"/>
  <c r="D330" i="20" s="1"/>
  <c r="E239" i="20"/>
  <c r="F239" i="20" s="1"/>
  <c r="D240" i="20" s="1"/>
  <c r="E510" i="20"/>
  <c r="F510" i="20" s="1"/>
  <c r="D511" i="20" s="1"/>
  <c r="E148" i="20"/>
  <c r="F148" i="20" s="1"/>
  <c r="D149" i="20" s="1"/>
  <c r="A167" i="34"/>
  <c r="B171" i="34"/>
  <c r="E688" i="20"/>
  <c r="F688" i="20" s="1"/>
  <c r="E148" i="13"/>
  <c r="F148" i="13" s="1"/>
  <c r="E959" i="20"/>
  <c r="F959" i="20" s="1"/>
  <c r="D960" i="20" s="1"/>
  <c r="D149" i="13" l="1"/>
  <c r="G148" i="13"/>
  <c r="D689" i="20"/>
  <c r="E1050" i="20"/>
  <c r="F1050" i="20" s="1"/>
  <c r="D1051" i="20" s="1"/>
  <c r="A168" i="34"/>
  <c r="B172" i="34"/>
  <c r="E149" i="20"/>
  <c r="F149" i="20" s="1"/>
  <c r="E511" i="20"/>
  <c r="F511" i="20" s="1"/>
  <c r="D512" i="20" s="1"/>
  <c r="E240" i="20"/>
  <c r="F240" i="20" s="1"/>
  <c r="D241" i="20" s="1"/>
  <c r="E330" i="20"/>
  <c r="F330" i="20" s="1"/>
  <c r="E784" i="20"/>
  <c r="F784" i="20" s="1"/>
  <c r="E960" i="20"/>
  <c r="F960" i="20" s="1"/>
  <c r="D961" i="20" s="1"/>
  <c r="E419" i="20"/>
  <c r="F419" i="20" s="1"/>
  <c r="D420" i="20" s="1"/>
  <c r="E599" i="20"/>
  <c r="F599" i="20" s="1"/>
  <c r="E869" i="20"/>
  <c r="F869" i="20" s="1"/>
  <c r="D331" i="20" l="1"/>
  <c r="E331" i="20" s="1"/>
  <c r="F331" i="20" s="1"/>
  <c r="D785" i="20"/>
  <c r="E785" i="20" s="1"/>
  <c r="F785" i="20" s="1"/>
  <c r="D150" i="20"/>
  <c r="E150" i="20" s="1"/>
  <c r="F150" i="20" s="1"/>
  <c r="D151" i="20" s="1"/>
  <c r="D870" i="20"/>
  <c r="D600" i="20"/>
  <c r="A171" i="34"/>
  <c r="A172" i="34" s="1"/>
  <c r="A173" i="34" s="1"/>
  <c r="A174" i="34" s="1"/>
  <c r="A183" i="34" s="1"/>
  <c r="A184" i="34" s="1"/>
  <c r="A185" i="34" s="1"/>
  <c r="A186" i="34" s="1"/>
  <c r="A187" i="34" s="1"/>
  <c r="A188" i="34" s="1"/>
  <c r="B173" i="34"/>
  <c r="E149" i="13"/>
  <c r="F149" i="13" s="1"/>
  <c r="E961" i="20"/>
  <c r="F961" i="20" s="1"/>
  <c r="E241" i="20"/>
  <c r="F241" i="20" s="1"/>
  <c r="E512" i="20"/>
  <c r="F512" i="20" s="1"/>
  <c r="E1051" i="20"/>
  <c r="F1051" i="20" s="1"/>
  <c r="E689" i="20"/>
  <c r="F689" i="20" s="1"/>
  <c r="D690" i="20" s="1"/>
  <c r="E420" i="20"/>
  <c r="F420" i="20" s="1"/>
  <c r="D1052" i="20" l="1"/>
  <c r="D242" i="20"/>
  <c r="D332" i="20"/>
  <c r="D150" i="13"/>
  <c r="G149" i="13"/>
  <c r="D421" i="20"/>
  <c r="D786" i="20"/>
  <c r="D513" i="20"/>
  <c r="D962" i="20"/>
  <c r="E690" i="20"/>
  <c r="F690" i="20" s="1"/>
  <c r="E151" i="20"/>
  <c r="F151" i="20" s="1"/>
  <c r="A190" i="34"/>
  <c r="B213" i="34"/>
  <c r="E870" i="20"/>
  <c r="F870" i="20" s="1"/>
  <c r="D871" i="20" s="1"/>
  <c r="E600" i="20"/>
  <c r="F600" i="20" s="1"/>
  <c r="D601" i="20" l="1"/>
  <c r="E601" i="20" s="1"/>
  <c r="F601" i="20" s="1"/>
  <c r="D152" i="20"/>
  <c r="D691" i="20"/>
  <c r="E421" i="20"/>
  <c r="F421" i="20" s="1"/>
  <c r="D422" i="20" s="1"/>
  <c r="E150" i="13"/>
  <c r="F150" i="13" s="1"/>
  <c r="D151" i="13" s="1"/>
  <c r="E871" i="20"/>
  <c r="F871" i="20" s="1"/>
  <c r="D872" i="20" s="1"/>
  <c r="E786" i="20"/>
  <c r="F786" i="20" s="1"/>
  <c r="D787" i="20" s="1"/>
  <c r="E1052" i="20"/>
  <c r="F1052" i="20" s="1"/>
  <c r="E513" i="20"/>
  <c r="F513" i="20" s="1"/>
  <c r="E242" i="20"/>
  <c r="F242" i="20" s="1"/>
  <c r="B187" i="34"/>
  <c r="A193" i="34"/>
  <c r="A194" i="34" s="1"/>
  <c r="A195" i="34" s="1"/>
  <c r="A196" i="34" s="1"/>
  <c r="A197" i="34" s="1"/>
  <c r="A198" i="34" s="1"/>
  <c r="A199" i="34" s="1"/>
  <c r="E962" i="20"/>
  <c r="F962" i="20" s="1"/>
  <c r="E332" i="20"/>
  <c r="F332" i="20" s="1"/>
  <c r="D243" i="20" l="1"/>
  <c r="E243" i="20" s="1"/>
  <c r="F243" i="20" s="1"/>
  <c r="D244" i="20" s="1"/>
  <c r="D1053" i="20"/>
  <c r="D602" i="20"/>
  <c r="D333" i="20"/>
  <c r="D963" i="20"/>
  <c r="D514" i="20"/>
  <c r="E787" i="20"/>
  <c r="F787" i="20" s="1"/>
  <c r="D788" i="20" s="1"/>
  <c r="E152" i="20"/>
  <c r="F152" i="20" s="1"/>
  <c r="D153" i="20" s="1"/>
  <c r="A202" i="34"/>
  <c r="E241" i="2"/>
  <c r="B229" i="34"/>
  <c r="E691" i="20"/>
  <c r="F691" i="20" s="1"/>
  <c r="D692" i="20" s="1"/>
  <c r="E872" i="20"/>
  <c r="F872" i="20" s="1"/>
  <c r="E422" i="20"/>
  <c r="F422" i="20" s="1"/>
  <c r="G150" i="13"/>
  <c r="E151" i="13"/>
  <c r="F151" i="13" s="1"/>
  <c r="D152" i="13" s="1"/>
  <c r="D423" i="20" l="1"/>
  <c r="D873" i="20"/>
  <c r="E244" i="20"/>
  <c r="F244" i="20" s="1"/>
  <c r="D245" i="20" s="1"/>
  <c r="A203" i="34"/>
  <c r="B207" i="34"/>
  <c r="B214" i="34"/>
  <c r="E602" i="20"/>
  <c r="F602" i="20" s="1"/>
  <c r="E788" i="20"/>
  <c r="F788" i="20" s="1"/>
  <c r="E514" i="20"/>
  <c r="F514" i="20" s="1"/>
  <c r="E1053" i="20"/>
  <c r="F1053" i="20" s="1"/>
  <c r="G151" i="13"/>
  <c r="E333" i="20"/>
  <c r="F333" i="20" s="1"/>
  <c r="D334" i="20" s="1"/>
  <c r="E152" i="13"/>
  <c r="F152" i="13" s="1"/>
  <c r="E692" i="20"/>
  <c r="F692" i="20" s="1"/>
  <c r="D693" i="20" s="1"/>
  <c r="E153" i="20"/>
  <c r="F153" i="20" s="1"/>
  <c r="D154" i="20" s="1"/>
  <c r="E963" i="20"/>
  <c r="F963" i="20" s="1"/>
  <c r="D789" i="20" l="1"/>
  <c r="D964" i="20"/>
  <c r="D1054" i="20"/>
  <c r="D603" i="20"/>
  <c r="D153" i="13"/>
  <c r="G152" i="13"/>
  <c r="D515" i="20"/>
  <c r="E154" i="20"/>
  <c r="F154" i="20" s="1"/>
  <c r="E693" i="20"/>
  <c r="F693" i="20" s="1"/>
  <c r="E334" i="20"/>
  <c r="F334" i="20" s="1"/>
  <c r="D335" i="20" s="1"/>
  <c r="E245" i="20"/>
  <c r="F245" i="20" s="1"/>
  <c r="B230" i="34"/>
  <c r="A206" i="34"/>
  <c r="E242" i="2"/>
  <c r="E873" i="20"/>
  <c r="F873" i="20" s="1"/>
  <c r="D874" i="20" s="1"/>
  <c r="E423" i="20"/>
  <c r="F423" i="20" s="1"/>
  <c r="D246" i="20" l="1"/>
  <c r="E246" i="20" s="1"/>
  <c r="F246" i="20" s="1"/>
  <c r="D424" i="20"/>
  <c r="E424" i="20" s="1"/>
  <c r="D155" i="20"/>
  <c r="D694" i="20"/>
  <c r="E964" i="20"/>
  <c r="F964" i="20" s="1"/>
  <c r="D965" i="20" s="1"/>
  <c r="E1054" i="20"/>
  <c r="F1054" i="20" s="1"/>
  <c r="E874" i="20"/>
  <c r="F874" i="20" s="1"/>
  <c r="D875" i="20" s="1"/>
  <c r="E335" i="20"/>
  <c r="F335" i="20" s="1"/>
  <c r="D336" i="20" s="1"/>
  <c r="E603" i="20"/>
  <c r="F603" i="20" s="1"/>
  <c r="D604" i="20" s="1"/>
  <c r="E244" i="2"/>
  <c r="A207" i="34"/>
  <c r="E515" i="20"/>
  <c r="F515" i="20" s="1"/>
  <c r="D516" i="20" s="1"/>
  <c r="E153" i="13"/>
  <c r="F153" i="13" s="1"/>
  <c r="E789" i="20"/>
  <c r="F789" i="20" s="1"/>
  <c r="D790" i="20" s="1"/>
  <c r="F424" i="20" l="1"/>
  <c r="D425" i="20" s="1"/>
  <c r="E425" i="20" s="1"/>
  <c r="F425" i="20" s="1"/>
  <c r="D426" i="20" s="1"/>
  <c r="D1055" i="20"/>
  <c r="E1055" i="20" s="1"/>
  <c r="F1055" i="20" s="1"/>
  <c r="D1056" i="20" s="1"/>
  <c r="D154" i="13"/>
  <c r="G153" i="13"/>
  <c r="D247" i="20"/>
  <c r="E245" i="2"/>
  <c r="A208" i="34"/>
  <c r="E694" i="20"/>
  <c r="F694" i="20" s="1"/>
  <c r="D695" i="20" s="1"/>
  <c r="E790" i="20"/>
  <c r="E791" i="20" s="1"/>
  <c r="E336" i="20"/>
  <c r="F336" i="20" s="1"/>
  <c r="E965" i="20"/>
  <c r="F965" i="20" s="1"/>
  <c r="E516" i="20"/>
  <c r="F516" i="20" s="1"/>
  <c r="E604" i="20"/>
  <c r="F604" i="20" s="1"/>
  <c r="E875" i="20"/>
  <c r="F875" i="20" s="1"/>
  <c r="D876" i="20" s="1"/>
  <c r="E155" i="20"/>
  <c r="F155" i="20" s="1"/>
  <c r="D156" i="20" s="1"/>
  <c r="D337" i="20" l="1"/>
  <c r="E337" i="20" s="1"/>
  <c r="F337" i="20" s="1"/>
  <c r="D517" i="20"/>
  <c r="E517" i="20" s="1"/>
  <c r="F517" i="20" s="1"/>
  <c r="D605" i="20"/>
  <c r="D966" i="20"/>
  <c r="E1056" i="20"/>
  <c r="F1056" i="20" s="1"/>
  <c r="E246" i="2"/>
  <c r="A209" i="34"/>
  <c r="E156" i="20"/>
  <c r="F156" i="20" s="1"/>
  <c r="E876" i="20"/>
  <c r="F876" i="20" s="1"/>
  <c r="F790" i="20"/>
  <c r="E695" i="20"/>
  <c r="F695" i="20" s="1"/>
  <c r="D696" i="20" s="1"/>
  <c r="E426" i="20"/>
  <c r="F426" i="20" s="1"/>
  <c r="E247" i="20"/>
  <c r="F247" i="20" s="1"/>
  <c r="E154" i="13"/>
  <c r="F154" i="13" s="1"/>
  <c r="D248" i="20" l="1"/>
  <c r="E248" i="20" s="1"/>
  <c r="F248" i="20" s="1"/>
  <c r="D249" i="20" s="1"/>
  <c r="D518" i="20"/>
  <c r="D877" i="20"/>
  <c r="D157" i="20"/>
  <c r="D338" i="20"/>
  <c r="D427" i="20"/>
  <c r="D1057" i="20"/>
  <c r="D155" i="13"/>
  <c r="G154" i="13"/>
  <c r="E696" i="20"/>
  <c r="F696" i="20" s="1"/>
  <c r="E247" i="2"/>
  <c r="A210" i="34"/>
  <c r="E966" i="20"/>
  <c r="F966" i="20" s="1"/>
  <c r="D967" i="20" s="1"/>
  <c r="E605" i="20"/>
  <c r="F605" i="20" s="1"/>
  <c r="D606" i="20" s="1"/>
  <c r="D697" i="20" l="1"/>
  <c r="E697" i="20" s="1"/>
  <c r="F697" i="20" s="1"/>
  <c r="D698" i="20" s="1"/>
  <c r="E249" i="20"/>
  <c r="F249" i="20" s="1"/>
  <c r="D250" i="20" s="1"/>
  <c r="E1057" i="20"/>
  <c r="F1057" i="20" s="1"/>
  <c r="D1058" i="20" s="1"/>
  <c r="E877" i="20"/>
  <c r="F877" i="20" s="1"/>
  <c r="E157" i="20"/>
  <c r="F157" i="20" s="1"/>
  <c r="A213" i="34"/>
  <c r="B215" i="34"/>
  <c r="E338" i="20"/>
  <c r="F338" i="20" s="1"/>
  <c r="D339" i="20" s="1"/>
  <c r="E606" i="20"/>
  <c r="F606" i="20" s="1"/>
  <c r="E967" i="20"/>
  <c r="F967" i="20" s="1"/>
  <c r="E155" i="13"/>
  <c r="F155" i="13" s="1"/>
  <c r="E427" i="20"/>
  <c r="F427" i="20" s="1"/>
  <c r="E518" i="20"/>
  <c r="F518" i="20" s="1"/>
  <c r="D607" i="20" l="1"/>
  <c r="E607" i="20" s="1"/>
  <c r="F607" i="20" s="1"/>
  <c r="D428" i="20"/>
  <c r="D519" i="20"/>
  <c r="D878" i="20"/>
  <c r="D156" i="13"/>
  <c r="G155" i="13"/>
  <c r="D968" i="20"/>
  <c r="D158" i="20"/>
  <c r="E1058" i="20"/>
  <c r="F1058" i="20" s="1"/>
  <c r="D1059" i="20" s="1"/>
  <c r="E250" i="20"/>
  <c r="E251" i="20" s="1"/>
  <c r="A214" i="34"/>
  <c r="D251" i="2"/>
  <c r="E339" i="20"/>
  <c r="F339" i="20" s="1"/>
  <c r="E698" i="20"/>
  <c r="F698" i="20" s="1"/>
  <c r="D699" i="20" s="1"/>
  <c r="D608" i="20" l="1"/>
  <c r="E608" i="20" s="1"/>
  <c r="F608" i="20" s="1"/>
  <c r="E428" i="20"/>
  <c r="F428" i="20" s="1"/>
  <c r="D429" i="20" s="1"/>
  <c r="E429" i="20" s="1"/>
  <c r="F250" i="20"/>
  <c r="D340" i="20"/>
  <c r="E156" i="13"/>
  <c r="F156" i="13" s="1"/>
  <c r="E699" i="20"/>
  <c r="F699" i="20" s="1"/>
  <c r="D252" i="2"/>
  <c r="A215" i="34"/>
  <c r="E1059" i="20"/>
  <c r="F1059" i="20" s="1"/>
  <c r="E158" i="20"/>
  <c r="F158" i="20" s="1"/>
  <c r="E878" i="20"/>
  <c r="F878" i="20" s="1"/>
  <c r="E968" i="20"/>
  <c r="F968" i="20" s="1"/>
  <c r="E519" i="20"/>
  <c r="F519" i="20" s="1"/>
  <c r="D157" i="13" l="1"/>
  <c r="E157" i="13" s="1"/>
  <c r="F157" i="13" s="1"/>
  <c r="D158" i="13" s="1"/>
  <c r="G156" i="13"/>
  <c r="D700" i="20"/>
  <c r="E700" i="20" s="1"/>
  <c r="D879" i="20"/>
  <c r="E879" i="20" s="1"/>
  <c r="F879" i="20" s="1"/>
  <c r="D1060" i="20"/>
  <c r="E1060" i="20" s="1"/>
  <c r="E1061" i="20" s="1"/>
  <c r="F429" i="20"/>
  <c r="D520" i="20"/>
  <c r="D609" i="20"/>
  <c r="D159" i="20"/>
  <c r="D969" i="20"/>
  <c r="A216" i="34"/>
  <c r="B220" i="34" s="1"/>
  <c r="D253" i="2"/>
  <c r="E340" i="20"/>
  <c r="E341" i="20" s="1"/>
  <c r="E701" i="20" l="1"/>
  <c r="F700" i="20"/>
  <c r="F340" i="20"/>
  <c r="D430" i="20"/>
  <c r="E430" i="20" s="1"/>
  <c r="E431" i="20" s="1"/>
  <c r="D880" i="20"/>
  <c r="E158" i="13"/>
  <c r="F158" i="13" s="1"/>
  <c r="G157" i="13"/>
  <c r="E159" i="20"/>
  <c r="F159" i="20" s="1"/>
  <c r="D160" i="20" s="1"/>
  <c r="E609" i="20"/>
  <c r="F609" i="20" s="1"/>
  <c r="F1060" i="20"/>
  <c r="E969" i="20"/>
  <c r="F969" i="20" s="1"/>
  <c r="D970" i="20" s="1"/>
  <c r="D254" i="2"/>
  <c r="A218" i="34"/>
  <c r="B218" i="34"/>
  <c r="B219" i="34"/>
  <c r="E520" i="20"/>
  <c r="E521" i="20" s="1"/>
  <c r="F430" i="20" l="1"/>
  <c r="D159" i="13"/>
  <c r="E159" i="13" s="1"/>
  <c r="E160" i="13" s="1"/>
  <c r="G158" i="13"/>
  <c r="D610" i="20"/>
  <c r="E160" i="20"/>
  <c r="E161" i="20" s="1"/>
  <c r="E970" i="20"/>
  <c r="E971" i="20" s="1"/>
  <c r="F520" i="20"/>
  <c r="A219" i="34"/>
  <c r="E880" i="20"/>
  <c r="E881" i="20" s="1"/>
  <c r="F160" i="20" l="1"/>
  <c r="F970" i="20"/>
  <c r="F880" i="20"/>
  <c r="F159" i="13"/>
  <c r="G159" i="13" s="1"/>
  <c r="A220" i="34"/>
  <c r="E610" i="20"/>
  <c r="E611" i="20" s="1"/>
  <c r="F610" i="20" l="1"/>
  <c r="A222" i="34"/>
  <c r="A224" i="34" s="1"/>
  <c r="A225" i="34" s="1"/>
  <c r="A226" i="34" s="1"/>
  <c r="A229" i="34" s="1"/>
  <c r="A230" i="34" l="1"/>
  <c r="B234" i="34"/>
  <c r="A231" i="34" l="1"/>
  <c r="B235" i="34"/>
  <c r="A234" i="34" l="1"/>
  <c r="A235" i="34" s="1"/>
  <c r="A236" i="34" s="1"/>
  <c r="A237" i="34" s="1"/>
  <c r="B236" i="34"/>
  <c r="I10" i="41" l="1"/>
  <c r="E21" i="41" l="1"/>
  <c r="J54" i="41"/>
  <c r="I21" i="41" l="1"/>
  <c r="E22" i="41"/>
  <c r="E23" i="41" l="1"/>
  <c r="I22" i="41"/>
  <c r="L22" i="41" s="1"/>
  <c r="L21" i="41"/>
  <c r="E24" i="41" l="1"/>
  <c r="I23" i="41"/>
  <c r="L23" i="41" l="1"/>
  <c r="I24" i="41"/>
  <c r="L24" i="41" s="1"/>
  <c r="E25" i="41"/>
  <c r="I25" i="41" l="1"/>
  <c r="L25" i="41" s="1"/>
  <c r="E26" i="41"/>
  <c r="E27" i="41" l="1"/>
  <c r="I26" i="41"/>
  <c r="L26" i="41" l="1"/>
  <c r="I27" i="41"/>
  <c r="L27" i="41" s="1"/>
  <c r="E28" i="41"/>
  <c r="E29" i="41" l="1"/>
  <c r="I28" i="41"/>
  <c r="L28" i="41" s="1"/>
  <c r="E30" i="41" l="1"/>
  <c r="I29" i="41"/>
  <c r="L29" i="41" s="1"/>
  <c r="E31" i="41" l="1"/>
  <c r="I30" i="41"/>
  <c r="L30" i="41" s="1"/>
  <c r="E32" i="41" l="1"/>
  <c r="I32" i="41" s="1"/>
  <c r="I31" i="41"/>
  <c r="L31" i="41" s="1"/>
  <c r="L32" i="41" l="1"/>
  <c r="L33" i="41" s="1"/>
  <c r="E36" i="41" s="1"/>
  <c r="I36" i="41" s="1"/>
  <c r="L36" i="41" s="1"/>
  <c r="I33" i="41"/>
  <c r="J39" i="41" l="1"/>
  <c r="E39" i="41"/>
  <c r="I39" i="41" l="1"/>
  <c r="L39" i="41"/>
  <c r="E40" i="41" s="1"/>
  <c r="J40" i="41"/>
  <c r="J41" i="41" s="1"/>
  <c r="J42" i="41" s="1"/>
  <c r="J43" i="41" s="1"/>
  <c r="J44" i="41" s="1"/>
  <c r="J45" i="41" s="1"/>
  <c r="J46" i="41" s="1"/>
  <c r="J47" i="41" s="1"/>
  <c r="J48" i="41" s="1"/>
  <c r="J49" i="41" s="1"/>
  <c r="J50" i="41" s="1"/>
  <c r="J53" i="41" l="1"/>
  <c r="L40" i="41"/>
  <c r="E41" i="41" s="1"/>
  <c r="I40" i="41"/>
  <c r="I41" i="41" l="1"/>
  <c r="L41" i="41"/>
  <c r="E42" i="41" s="1"/>
  <c r="J55" i="41"/>
  <c r="L42" i="41" l="1"/>
  <c r="E43" i="41" s="1"/>
  <c r="I42" i="41"/>
  <c r="L43" i="41" l="1"/>
  <c r="E44" i="41" s="1"/>
  <c r="I43" i="41"/>
  <c r="L44" i="41" l="1"/>
  <c r="E45" i="41" s="1"/>
  <c r="I44" i="41"/>
  <c r="I45" i="41" l="1"/>
  <c r="L45" i="41"/>
  <c r="E46" i="41" s="1"/>
  <c r="I46" i="41" l="1"/>
  <c r="L46" i="41"/>
  <c r="E47" i="41" s="1"/>
  <c r="L47" i="41" l="1"/>
  <c r="E48" i="41" s="1"/>
  <c r="I47" i="41"/>
  <c r="L48" i="41" l="1"/>
  <c r="E49" i="41" s="1"/>
  <c r="I48" i="41"/>
  <c r="L49" i="41" l="1"/>
  <c r="E50" i="41" s="1"/>
  <c r="I49" i="41"/>
  <c r="L50" i="41" l="1"/>
  <c r="I50" i="41"/>
  <c r="I51" i="41" s="1"/>
  <c r="G28" i="5" l="1"/>
  <c r="I43" i="5" l="1"/>
  <c r="I41" i="5"/>
  <c r="I35" i="5"/>
  <c r="I25" i="5"/>
  <c r="I33" i="5"/>
  <c r="G20" i="5"/>
  <c r="I19" i="5" l="1"/>
  <c r="I44" i="5"/>
  <c r="L89" i="2" s="1"/>
  <c r="G89" i="2"/>
  <c r="I17" i="5"/>
  <c r="G88" i="2"/>
  <c r="I36" i="5"/>
  <c r="L88" i="2" s="1"/>
  <c r="G87" i="2"/>
  <c r="E20" i="5" l="1"/>
  <c r="I20" i="5"/>
  <c r="L86" i="2" s="1"/>
  <c r="G86" i="2"/>
  <c r="G91" i="2" s="1"/>
  <c r="I27" i="5" l="1"/>
  <c r="I28" i="5" s="1"/>
  <c r="L87" i="2" s="1"/>
  <c r="L91" i="2" s="1"/>
  <c r="E28" i="5"/>
  <c r="I78" i="6" l="1"/>
  <c r="K78" i="6" s="1"/>
  <c r="E78" i="6" s="1"/>
  <c r="I54" i="6"/>
  <c r="K54" i="6" s="1"/>
  <c r="E54" i="6" s="1"/>
  <c r="I77" i="6"/>
  <c r="K77" i="6" s="1"/>
  <c r="E77" i="6" s="1"/>
  <c r="I53" i="6"/>
  <c r="K53" i="6" s="1"/>
  <c r="E53" i="6" s="1"/>
  <c r="I75" i="6"/>
  <c r="K75" i="6" s="1"/>
  <c r="E75" i="6" s="1"/>
  <c r="I51" i="6"/>
  <c r="K51" i="6" s="1"/>
  <c r="E51" i="6" s="1"/>
  <c r="I76" i="6"/>
  <c r="K76" i="6" s="1"/>
  <c r="E76" i="6" s="1"/>
  <c r="I52" i="6"/>
  <c r="K52" i="6" s="1"/>
  <c r="E52" i="6" s="1"/>
  <c r="I67" i="6" l="1"/>
  <c r="K67" i="6" s="1"/>
  <c r="E67" i="6" s="1"/>
  <c r="I43" i="6"/>
  <c r="K43" i="6" s="1"/>
  <c r="E43" i="6" s="1"/>
  <c r="I69" i="6" l="1"/>
  <c r="K69" i="6" s="1"/>
  <c r="E69" i="6" s="1"/>
  <c r="I45" i="6"/>
  <c r="K45" i="6" s="1"/>
  <c r="E45" i="6" s="1"/>
  <c r="I50" i="6"/>
  <c r="K50" i="6" s="1"/>
  <c r="E50" i="6" s="1"/>
  <c r="I74" i="6"/>
  <c r="K74" i="6" s="1"/>
  <c r="E74" i="6" s="1"/>
  <c r="I73" i="6"/>
  <c r="K73" i="6" s="1"/>
  <c r="E73" i="6" s="1"/>
  <c r="I49" i="6"/>
  <c r="K49" i="6" s="1"/>
  <c r="E49" i="6" s="1"/>
  <c r="I70" i="6"/>
  <c r="K70" i="6" s="1"/>
  <c r="E70" i="6" s="1"/>
  <c r="I46" i="6"/>
  <c r="K46" i="6" s="1"/>
  <c r="E46" i="6" s="1"/>
  <c r="I71" i="6"/>
  <c r="K71" i="6" s="1"/>
  <c r="E71" i="6" s="1"/>
  <c r="I47" i="6"/>
  <c r="K47" i="6" s="1"/>
  <c r="E47" i="6" s="1"/>
  <c r="I68" i="6"/>
  <c r="K68" i="6" s="1"/>
  <c r="E68" i="6" s="1"/>
  <c r="I44" i="6"/>
  <c r="K44" i="6" s="1"/>
  <c r="E44" i="6" s="1"/>
  <c r="I48" i="6"/>
  <c r="K48" i="6" s="1"/>
  <c r="E48" i="6" s="1"/>
  <c r="I72" i="6"/>
  <c r="K72" i="6" s="1"/>
  <c r="E72" i="6" s="1"/>
  <c r="I42" i="6" l="1"/>
  <c r="K42" i="6" s="1"/>
  <c r="E42" i="6" s="1"/>
  <c r="I66" i="6"/>
  <c r="K66" i="6" s="1"/>
  <c r="E66" i="6" s="1"/>
  <c r="E81" i="31" l="1"/>
  <c r="E37" i="11" s="1"/>
  <c r="K37" i="11" s="1"/>
  <c r="E89" i="31" l="1"/>
  <c r="E39" i="11" s="1"/>
  <c r="M39" i="11" s="1"/>
  <c r="E14" i="31"/>
  <c r="E17" i="11" s="1"/>
  <c r="M17" i="11" l="1"/>
  <c r="E68" i="9" l="1"/>
  <c r="E69" i="9"/>
  <c r="F70" i="9" l="1"/>
  <c r="F72" i="9" s="1"/>
  <c r="G145" i="2" s="1"/>
  <c r="L145" i="2" s="1"/>
  <c r="E70" i="9" l="1"/>
  <c r="E67" i="9"/>
  <c r="D72" i="9"/>
  <c r="G140" i="2" s="1"/>
  <c r="E72" i="9" l="1"/>
  <c r="L42" i="2" l="1"/>
  <c r="L43" i="2"/>
  <c r="D64" i="9" l="1"/>
  <c r="G139" i="2" s="1"/>
  <c r="D44" i="9"/>
  <c r="G138" i="2" s="1"/>
  <c r="D33" i="9"/>
  <c r="G131" i="2" s="1"/>
  <c r="G141" i="2" l="1"/>
  <c r="L141" i="2" s="1"/>
  <c r="L41" i="2"/>
  <c r="G134" i="2"/>
  <c r="F64" i="9"/>
  <c r="G144" i="2" s="1"/>
  <c r="L144" i="2" s="1"/>
  <c r="L45" i="2" l="1"/>
  <c r="E64" i="9"/>
  <c r="L134" i="2"/>
  <c r="L100" i="2" s="1"/>
  <c r="G100" i="2"/>
  <c r="F44" i="9" l="1"/>
  <c r="G143" i="2" s="1"/>
  <c r="L143" i="2" l="1"/>
  <c r="L147" i="2" s="1"/>
  <c r="L149" i="2" s="1"/>
  <c r="L151" i="2" s="1"/>
  <c r="G147" i="2"/>
  <c r="G149" i="2" s="1"/>
  <c r="G151" i="2" s="1"/>
  <c r="E44" i="9"/>
  <c r="I65" i="6" l="1"/>
  <c r="K65" i="6" s="1"/>
  <c r="E65" i="6" s="1"/>
  <c r="I41" i="6"/>
  <c r="K41" i="6" s="1"/>
  <c r="E41" i="6" s="1"/>
  <c r="I40" i="6"/>
  <c r="K40" i="6" s="1"/>
  <c r="E40" i="6" s="1"/>
  <c r="I64" i="6"/>
  <c r="K64" i="6" s="1"/>
  <c r="E64" i="6" s="1"/>
  <c r="I39" i="6" l="1"/>
  <c r="D55" i="6"/>
  <c r="D29" i="6" s="1"/>
  <c r="D79" i="6"/>
  <c r="D30" i="6" s="1"/>
  <c r="I63" i="6"/>
  <c r="D31" i="6" l="1"/>
  <c r="I79" i="6"/>
  <c r="I30" i="6" s="1"/>
  <c r="K63" i="6"/>
  <c r="I55" i="6"/>
  <c r="I29" i="6" s="1"/>
  <c r="K39" i="6"/>
  <c r="K55" i="6" l="1"/>
  <c r="K29" i="6" s="1"/>
  <c r="E39" i="6"/>
  <c r="E55" i="6" s="1"/>
  <c r="E29" i="6" s="1"/>
  <c r="K79" i="6"/>
  <c r="K30" i="6" s="1"/>
  <c r="E63" i="6"/>
  <c r="E79" i="6" s="1"/>
  <c r="E30" i="6" s="1"/>
  <c r="I31" i="6"/>
  <c r="G105" i="2" s="1"/>
  <c r="E31" i="6" l="1"/>
  <c r="G107" i="2" s="1"/>
  <c r="L107" i="2" s="1"/>
  <c r="K31" i="6"/>
  <c r="L105" i="2"/>
  <c r="G108" i="2" l="1"/>
  <c r="G112" i="2" s="1"/>
  <c r="G183" i="2" s="1"/>
  <c r="G177" i="2" s="1"/>
  <c r="G181" i="2" s="1"/>
  <c r="L108" i="2"/>
  <c r="L112" i="2" s="1"/>
  <c r="E28" i="13" s="1"/>
  <c r="E30" i="13" s="1"/>
  <c r="L183" i="2" l="1"/>
  <c r="F49" i="13" s="1"/>
  <c r="F28" i="20"/>
  <c r="F30" i="20" s="1"/>
  <c r="F34" i="20" s="1"/>
  <c r="F36" i="20" s="1"/>
  <c r="F40" i="20" s="1"/>
  <c r="E34" i="13"/>
  <c r="E36" i="13" s="1"/>
  <c r="E40" i="13" s="1"/>
  <c r="F57" i="13" s="1"/>
  <c r="F56" i="13"/>
  <c r="L177" i="2" l="1"/>
  <c r="L181" i="2" s="1"/>
  <c r="F50" i="13" s="1"/>
  <c r="G49" i="20"/>
  <c r="G56" i="20"/>
  <c r="G50" i="20"/>
  <c r="G57" i="20"/>
  <c r="K27" i="8" l="1"/>
  <c r="K31" i="8" s="1"/>
  <c r="G15" i="2" s="1"/>
  <c r="L15" i="2" s="1"/>
  <c r="J21" i="8"/>
  <c r="I27" i="8"/>
  <c r="I31" i="8" s="1"/>
  <c r="J17" i="8" l="1"/>
  <c r="J27" i="8" s="1"/>
  <c r="J31" i="8" s="1"/>
  <c r="E50" i="31"/>
  <c r="E26" i="11" s="1"/>
  <c r="I26" i="11" s="1"/>
  <c r="E98" i="31" l="1"/>
  <c r="E95" i="31"/>
  <c r="E40" i="11" s="1"/>
  <c r="M40" i="11" s="1"/>
  <c r="E86" i="31"/>
  <c r="E38" i="11" s="1"/>
  <c r="K38" i="11" s="1"/>
  <c r="E69" i="31"/>
  <c r="E36" i="11" s="1"/>
  <c r="K36" i="11" s="1"/>
  <c r="E65" i="31"/>
  <c r="E35" i="11" s="1"/>
  <c r="K35" i="11" s="1"/>
  <c r="E62" i="31"/>
  <c r="E34" i="11" s="1"/>
  <c r="M34" i="11" s="1"/>
  <c r="E59" i="31"/>
  <c r="E31" i="11" s="1"/>
  <c r="M31" i="11" s="1"/>
  <c r="E54" i="31"/>
  <c r="E28" i="11" s="1"/>
  <c r="I28" i="11" s="1"/>
  <c r="E52" i="31"/>
  <c r="E27" i="11" s="1"/>
  <c r="I27" i="11" s="1"/>
  <c r="E23" i="31"/>
  <c r="I24" i="31"/>
  <c r="I23" i="31" s="1"/>
  <c r="K43" i="11" l="1"/>
  <c r="G165" i="2" s="1"/>
  <c r="L165" i="2" s="1"/>
  <c r="M43" i="11"/>
  <c r="G164" i="2" s="1"/>
  <c r="L164" i="2" s="1"/>
  <c r="I43" i="11"/>
  <c r="G161" i="2" s="1"/>
  <c r="L161" i="2" s="1"/>
  <c r="E20" i="11"/>
  <c r="G20" i="11" l="1"/>
  <c r="E40" i="31"/>
  <c r="E23" i="11" s="1"/>
  <c r="G23" i="11" s="1"/>
  <c r="I41" i="31"/>
  <c r="I40" i="31" s="1"/>
  <c r="I38" i="31"/>
  <c r="I37" i="31" s="1"/>
  <c r="E37" i="31"/>
  <c r="E22" i="11" s="1"/>
  <c r="G22" i="11" s="1"/>
  <c r="E30" i="31" l="1"/>
  <c r="I31" i="31"/>
  <c r="I30" i="31" s="1"/>
  <c r="I22" i="31" s="1"/>
  <c r="L163" i="2" s="1"/>
  <c r="L166" i="2" s="1"/>
  <c r="L191" i="2" s="1"/>
  <c r="L13" i="2" s="1"/>
  <c r="F101" i="31"/>
  <c r="L18" i="2" l="1"/>
  <c r="L34" i="2"/>
  <c r="L31" i="2"/>
  <c r="G47" i="20"/>
  <c r="G51" i="20" s="1"/>
  <c r="G55" i="20" s="1"/>
  <c r="G58" i="20" s="1"/>
  <c r="L27" i="2"/>
  <c r="L28" i="2" s="1"/>
  <c r="F47" i="13"/>
  <c r="F51" i="13" s="1"/>
  <c r="F55" i="13" s="1"/>
  <c r="F58" i="13" s="1"/>
  <c r="E21" i="11"/>
  <c r="E22" i="31"/>
  <c r="F65" i="13" l="1"/>
  <c r="F66" i="13" s="1"/>
  <c r="F60" i="13"/>
  <c r="F68" i="13" s="1"/>
  <c r="F69" i="13" s="1"/>
  <c r="G65" i="20"/>
  <c r="G66" i="20" s="1"/>
  <c r="G60" i="20"/>
  <c r="G68" i="20" s="1"/>
  <c r="G69" i="20" s="1"/>
  <c r="F70" i="13"/>
  <c r="J95" i="13" s="1"/>
  <c r="G70" i="20"/>
  <c r="E101" i="31"/>
  <c r="G163" i="2"/>
  <c r="G166" i="2" s="1"/>
  <c r="G191" i="2" s="1"/>
  <c r="G21" i="11"/>
  <c r="G43" i="11" s="1"/>
  <c r="E43" i="11"/>
  <c r="I366" i="20" l="1"/>
  <c r="I367" i="20" s="1"/>
  <c r="I456" i="20"/>
  <c r="I457" i="20" s="1"/>
  <c r="I546" i="20"/>
  <c r="I547" i="20" s="1"/>
  <c r="I96" i="20"/>
  <c r="I276" i="20"/>
  <c r="I277" i="20" s="1"/>
  <c r="I186" i="20"/>
  <c r="I187" i="20" s="1"/>
  <c r="I636" i="20"/>
  <c r="I637" i="20" s="1"/>
  <c r="I996" i="20"/>
  <c r="I997" i="20" s="1"/>
  <c r="I816" i="20"/>
  <c r="I817" i="20" s="1"/>
  <c r="I906" i="20"/>
  <c r="I907" i="20" s="1"/>
  <c r="I726" i="20"/>
  <c r="I727" i="20" s="1"/>
  <c r="H113" i="13"/>
  <c r="H157" i="13"/>
  <c r="H140" i="13"/>
  <c r="H134" i="13"/>
  <c r="H128" i="13"/>
  <c r="H136" i="13"/>
  <c r="H111" i="13"/>
  <c r="H159" i="13"/>
  <c r="H135" i="13"/>
  <c r="H127" i="13"/>
  <c r="H121" i="13"/>
  <c r="H138" i="13"/>
  <c r="H137" i="13"/>
  <c r="H141" i="13"/>
  <c r="H100" i="13"/>
  <c r="H122" i="13"/>
  <c r="H109" i="13"/>
  <c r="H126" i="13"/>
  <c r="J96" i="13"/>
  <c r="H119" i="13"/>
  <c r="H132" i="13"/>
  <c r="H106" i="13"/>
  <c r="H123" i="13"/>
  <c r="H116" i="13"/>
  <c r="H114" i="13"/>
  <c r="H125" i="13"/>
  <c r="H148" i="13"/>
  <c r="H151" i="13"/>
  <c r="H112" i="13"/>
  <c r="H146" i="13"/>
  <c r="H104" i="13"/>
  <c r="H124" i="13"/>
  <c r="H103" i="13"/>
  <c r="H107" i="13"/>
  <c r="H108" i="13"/>
  <c r="H129" i="13"/>
  <c r="H117" i="13"/>
  <c r="H145" i="13"/>
  <c r="H149" i="13"/>
  <c r="H118" i="13"/>
  <c r="H158" i="13"/>
  <c r="H133" i="13"/>
  <c r="H153" i="13"/>
  <c r="H155" i="13"/>
  <c r="H154" i="13"/>
  <c r="H115" i="13"/>
  <c r="H156" i="13"/>
  <c r="H131" i="13"/>
  <c r="H152" i="13"/>
  <c r="H102" i="13"/>
  <c r="H120" i="13"/>
  <c r="H143" i="13"/>
  <c r="H130" i="13"/>
  <c r="H105" i="13"/>
  <c r="H150" i="13"/>
  <c r="H101" i="13"/>
  <c r="H110" i="13"/>
  <c r="H142" i="13"/>
  <c r="H144" i="13"/>
  <c r="H147" i="13"/>
  <c r="H139" i="13"/>
  <c r="G71" i="20"/>
  <c r="F71" i="13"/>
  <c r="I153" i="13" l="1"/>
  <c r="J153" i="13" s="1"/>
  <c r="I141" i="13"/>
  <c r="J141" i="13" s="1"/>
  <c r="I115" i="13"/>
  <c r="J115" i="13" s="1"/>
  <c r="I108" i="13"/>
  <c r="J108" i="13" s="1"/>
  <c r="I144" i="13"/>
  <c r="J144" i="13" s="1"/>
  <c r="I110" i="13"/>
  <c r="J110" i="13" s="1"/>
  <c r="I134" i="13"/>
  <c r="J134" i="13" s="1"/>
  <c r="I121" i="13"/>
  <c r="J121" i="13" s="1"/>
  <c r="I139" i="13"/>
  <c r="J139" i="13" s="1"/>
  <c r="I129" i="13"/>
  <c r="J129" i="13" s="1"/>
  <c r="I146" i="13"/>
  <c r="J146" i="13" s="1"/>
  <c r="I147" i="13"/>
  <c r="J147" i="13" s="1"/>
  <c r="I138" i="13"/>
  <c r="J138" i="13" s="1"/>
  <c r="I103" i="13"/>
  <c r="J103" i="13" s="1"/>
  <c r="I114" i="13"/>
  <c r="J114" i="13" s="1"/>
  <c r="I116" i="13"/>
  <c r="J116" i="13" s="1"/>
  <c r="I152" i="13"/>
  <c r="J152" i="13" s="1"/>
  <c r="I140" i="13"/>
  <c r="J140" i="13" s="1"/>
  <c r="I127" i="13"/>
  <c r="J127" i="13" s="1"/>
  <c r="I122" i="13"/>
  <c r="J122" i="13" s="1"/>
  <c r="I156" i="13"/>
  <c r="J156" i="13" s="1"/>
  <c r="I105" i="13"/>
  <c r="J105" i="13" s="1"/>
  <c r="I119" i="13"/>
  <c r="J119" i="13" s="1"/>
  <c r="I145" i="13"/>
  <c r="J145" i="13" s="1"/>
  <c r="I158" i="13"/>
  <c r="J158" i="13" s="1"/>
  <c r="I150" i="13"/>
  <c r="J150" i="13" s="1"/>
  <c r="I142" i="13"/>
  <c r="J142" i="13" s="1"/>
  <c r="I124" i="13"/>
  <c r="J124" i="13" s="1"/>
  <c r="I126" i="13"/>
  <c r="J126" i="13" s="1"/>
  <c r="I136" i="13"/>
  <c r="J136" i="13" s="1"/>
  <c r="I131" i="13"/>
  <c r="J131" i="13" s="1"/>
  <c r="I130" i="13"/>
  <c r="J130" i="13" s="1"/>
  <c r="I133" i="13"/>
  <c r="J133" i="13" s="1"/>
  <c r="I151" i="13"/>
  <c r="J151" i="13" s="1"/>
  <c r="I143" i="13"/>
  <c r="J143" i="13" s="1"/>
  <c r="I137" i="13"/>
  <c r="J137" i="13" s="1"/>
  <c r="I132" i="13"/>
  <c r="J132" i="13" s="1"/>
  <c r="I104" i="13"/>
  <c r="J104" i="13" s="1"/>
  <c r="I125" i="13"/>
  <c r="J125" i="13" s="1"/>
  <c r="I148" i="13"/>
  <c r="J148" i="13" s="1"/>
  <c r="I117" i="13"/>
  <c r="J117" i="13" s="1"/>
  <c r="I118" i="13"/>
  <c r="J118" i="13" s="1"/>
  <c r="I111" i="13"/>
  <c r="J111" i="13" s="1"/>
  <c r="I159" i="13"/>
  <c r="J159" i="13" s="1"/>
  <c r="I157" i="13"/>
  <c r="J157" i="13" s="1"/>
  <c r="I102" i="13"/>
  <c r="J102" i="13" s="1"/>
  <c r="I123" i="13"/>
  <c r="J123" i="13" s="1"/>
  <c r="I149" i="13"/>
  <c r="J149" i="13" s="1"/>
  <c r="I101" i="13"/>
  <c r="J101" i="13" s="1"/>
  <c r="I109" i="13"/>
  <c r="J109" i="13" s="1"/>
  <c r="I100" i="13"/>
  <c r="I155" i="13"/>
  <c r="J155" i="13" s="1"/>
  <c r="I106" i="13"/>
  <c r="J106" i="13" s="1"/>
  <c r="I107" i="13"/>
  <c r="J107" i="13" s="1"/>
  <c r="I113" i="13"/>
  <c r="J113" i="13" s="1"/>
  <c r="I120" i="13"/>
  <c r="J120" i="13" s="1"/>
  <c r="I128" i="13"/>
  <c r="J128" i="13" s="1"/>
  <c r="I112" i="13"/>
  <c r="J112" i="13" s="1"/>
  <c r="I135" i="13"/>
  <c r="J135" i="13" s="1"/>
  <c r="I154" i="13"/>
  <c r="J154" i="13" s="1"/>
  <c r="G924" i="20"/>
  <c r="G1025" i="20"/>
  <c r="G334" i="20"/>
  <c r="G385" i="20"/>
  <c r="G487" i="20"/>
  <c r="G594" i="20"/>
  <c r="G232" i="20"/>
  <c r="G693" i="20"/>
  <c r="G1060" i="20"/>
  <c r="G575" i="20"/>
  <c r="G1013" i="20"/>
  <c r="G592" i="20"/>
  <c r="G396" i="20"/>
  <c r="G923" i="20"/>
  <c r="G309" i="20"/>
  <c r="G481" i="20"/>
  <c r="G662" i="20"/>
  <c r="G505" i="20"/>
  <c r="G107" i="20"/>
  <c r="G1007" i="20"/>
  <c r="G216" i="20"/>
  <c r="G922" i="20"/>
  <c r="G746" i="20"/>
  <c r="G862" i="20"/>
  <c r="G859" i="20"/>
  <c r="G642" i="20"/>
  <c r="G824" i="20"/>
  <c r="G1034" i="20"/>
  <c r="G410" i="20"/>
  <c r="G105" i="20"/>
  <c r="G195" i="20"/>
  <c r="G307" i="20"/>
  <c r="G485" i="20"/>
  <c r="G916" i="20"/>
  <c r="G660" i="20"/>
  <c r="G135" i="20"/>
  <c r="G1019" i="20"/>
  <c r="G1031" i="20"/>
  <c r="G935" i="20"/>
  <c r="G853" i="20"/>
  <c r="G667" i="20"/>
  <c r="G211" i="20"/>
  <c r="G934" i="20"/>
  <c r="G744" i="20"/>
  <c r="G864" i="20"/>
  <c r="G826" i="20"/>
  <c r="G700" i="20"/>
  <c r="G464" i="20"/>
  <c r="G479" i="20"/>
  <c r="G767" i="20"/>
  <c r="G134" i="20"/>
  <c r="G685" i="20"/>
  <c r="G462" i="20"/>
  <c r="G1018" i="20"/>
  <c r="G837" i="20"/>
  <c r="G834" i="20"/>
  <c r="G286" i="20"/>
  <c r="G402" i="20"/>
  <c r="G384" i="20"/>
  <c r="G386" i="20"/>
  <c r="G930" i="20"/>
  <c r="G912" i="20"/>
  <c r="G844" i="20"/>
  <c r="G566" i="20"/>
  <c r="G840" i="20"/>
  <c r="G925" i="20"/>
  <c r="G684" i="20"/>
  <c r="G244" i="20"/>
  <c r="G223" i="20"/>
  <c r="G875" i="20"/>
  <c r="G564" i="20"/>
  <c r="G333" i="20"/>
  <c r="G1056" i="20"/>
  <c r="G503" i="20"/>
  <c r="G777" i="20"/>
  <c r="G238" i="20"/>
  <c r="G243" i="20"/>
  <c r="G380" i="20"/>
  <c r="G590" i="20"/>
  <c r="G160" i="20"/>
  <c r="G762" i="20"/>
  <c r="G570" i="20"/>
  <c r="G331" i="20"/>
  <c r="G579" i="20"/>
  <c r="G967" i="20"/>
  <c r="G689" i="20"/>
  <c r="G415" i="20"/>
  <c r="G314" i="20"/>
  <c r="G1057" i="20"/>
  <c r="G945" i="20"/>
  <c r="G866" i="20"/>
  <c r="G1050" i="20"/>
  <c r="G958" i="20"/>
  <c r="G486" i="20"/>
  <c r="G1003" i="20"/>
  <c r="G245" i="20"/>
  <c r="G1035" i="20"/>
  <c r="G773" i="20"/>
  <c r="G962" i="20"/>
  <c r="G213" i="20"/>
  <c r="G509" i="20"/>
  <c r="G222" i="20"/>
  <c r="G138" i="20"/>
  <c r="G690" i="20"/>
  <c r="G650" i="20"/>
  <c r="G571" i="20"/>
  <c r="G688" i="20"/>
  <c r="G466" i="20"/>
  <c r="G682" i="20"/>
  <c r="G306" i="20"/>
  <c r="G1032" i="20"/>
  <c r="G336" i="20"/>
  <c r="G413" i="20"/>
  <c r="G304" i="20"/>
  <c r="G567" i="20"/>
  <c r="G131" i="20"/>
  <c r="G290" i="20"/>
  <c r="G589" i="20"/>
  <c r="G645" i="20"/>
  <c r="G774" i="20"/>
  <c r="G208" i="20"/>
  <c r="G832" i="20"/>
  <c r="N808" i="20" s="1"/>
  <c r="G856" i="20"/>
  <c r="G647" i="20"/>
  <c r="G461" i="20"/>
  <c r="G551" i="20"/>
  <c r="G103" i="20"/>
  <c r="G235" i="20"/>
  <c r="G555" i="20"/>
  <c r="G940" i="20"/>
  <c r="G473" i="20"/>
  <c r="G572" i="20"/>
  <c r="G141" i="20"/>
  <c r="G651" i="20"/>
  <c r="N628" i="20" s="1"/>
  <c r="G297" i="20"/>
  <c r="G409" i="20"/>
  <c r="G495" i="20"/>
  <c r="G552" i="20"/>
  <c r="G498" i="20"/>
  <c r="G748" i="20"/>
  <c r="G599" i="20"/>
  <c r="G1037" i="20"/>
  <c r="G858" i="20"/>
  <c r="G382" i="20"/>
  <c r="G595" i="20"/>
  <c r="G602" i="20"/>
  <c r="G231" i="20"/>
  <c r="G392" i="20"/>
  <c r="G697" i="20"/>
  <c r="G226" i="20"/>
  <c r="G234" i="20"/>
  <c r="G580" i="20"/>
  <c r="G652" i="20"/>
  <c r="G680" i="20"/>
  <c r="G157" i="20"/>
  <c r="G123" i="20"/>
  <c r="G585" i="20"/>
  <c r="G605" i="20"/>
  <c r="G328" i="20"/>
  <c r="G942" i="20"/>
  <c r="G240" i="20"/>
  <c r="G828" i="20"/>
  <c r="G656" i="20"/>
  <c r="G843" i="20"/>
  <c r="G420" i="20"/>
  <c r="G676" i="20"/>
  <c r="G653" i="20"/>
  <c r="G857" i="20"/>
  <c r="G207" i="20"/>
  <c r="G330" i="20"/>
  <c r="G860" i="20"/>
  <c r="G250" i="20"/>
  <c r="G938" i="20"/>
  <c r="G569" i="20"/>
  <c r="G149" i="20"/>
  <c r="G373" i="20"/>
  <c r="G939" i="20"/>
  <c r="G577" i="20"/>
  <c r="G850" i="20"/>
  <c r="G920" i="20"/>
  <c r="G1012" i="20"/>
  <c r="G733" i="20"/>
  <c r="G430" i="20"/>
  <c r="G911" i="20"/>
  <c r="G764" i="20"/>
  <c r="G156" i="20"/>
  <c r="G397" i="20"/>
  <c r="G964" i="20"/>
  <c r="G395" i="20"/>
  <c r="G787" i="20"/>
  <c r="G607" i="20"/>
  <c r="G212" i="20"/>
  <c r="G921" i="20"/>
  <c r="G742" i="20"/>
  <c r="G696" i="20"/>
  <c r="G140" i="20"/>
  <c r="G518" i="20"/>
  <c r="G654" i="20"/>
  <c r="G1021" i="20"/>
  <c r="G963" i="20"/>
  <c r="G558" i="20"/>
  <c r="G694" i="20"/>
  <c r="G104" i="20"/>
  <c r="G414" i="20"/>
  <c r="G311" i="20"/>
  <c r="G153" i="20"/>
  <c r="G126" i="20"/>
  <c r="G241" i="20"/>
  <c r="G952" i="20"/>
  <c r="G561" i="20"/>
  <c r="N538" i="20" s="1"/>
  <c r="G475" i="20"/>
  <c r="G755" i="20"/>
  <c r="G731" i="20"/>
  <c r="G289" i="20"/>
  <c r="G329" i="20"/>
  <c r="G500" i="20"/>
  <c r="G288" i="20"/>
  <c r="G877" i="20"/>
  <c r="G111" i="20"/>
  <c r="G494" i="20"/>
  <c r="G664" i="20"/>
  <c r="G400" i="20"/>
  <c r="G154" i="20"/>
  <c r="G691" i="20"/>
  <c r="G679" i="20"/>
  <c r="G1048" i="20"/>
  <c r="G1043" i="20"/>
  <c r="G513" i="20"/>
  <c r="G285" i="20"/>
  <c r="G136" i="20"/>
  <c r="G1051" i="20"/>
  <c r="G756" i="20"/>
  <c r="G374" i="20"/>
  <c r="G606" i="20"/>
  <c r="G327" i="20"/>
  <c r="G770" i="20"/>
  <c r="G316" i="20"/>
  <c r="G210" i="20"/>
  <c r="G147" i="20"/>
  <c r="G514" i="20"/>
  <c r="G1009" i="20"/>
  <c r="N988" i="20" s="1"/>
  <c r="G318" i="20"/>
  <c r="G404" i="20"/>
  <c r="G197" i="20"/>
  <c r="G109" i="20"/>
  <c r="G322" i="20"/>
  <c r="G512" i="20"/>
  <c r="G387" i="20"/>
  <c r="G782" i="20"/>
  <c r="G738" i="20"/>
  <c r="G127" i="20"/>
  <c r="G132" i="20"/>
  <c r="G108" i="20"/>
  <c r="G781" i="20"/>
  <c r="G937" i="20"/>
  <c r="G966" i="20"/>
  <c r="G829" i="20"/>
  <c r="G823" i="20"/>
  <c r="G1028" i="20"/>
  <c r="G204" i="20"/>
  <c r="G780" i="20"/>
  <c r="G677" i="20"/>
  <c r="G655" i="20"/>
  <c r="G671" i="20"/>
  <c r="G659" i="20"/>
  <c r="G408" i="20"/>
  <c r="G159" i="20"/>
  <c r="G332" i="20"/>
  <c r="G484" i="20"/>
  <c r="G778" i="20"/>
  <c r="G315" i="20"/>
  <c r="G872" i="20"/>
  <c r="G325" i="20"/>
  <c r="G390" i="20"/>
  <c r="G419" i="20"/>
  <c r="G227" i="20"/>
  <c r="G847" i="20"/>
  <c r="G376" i="20"/>
  <c r="G1002" i="20"/>
  <c r="G855" i="20"/>
  <c r="G880" i="20"/>
  <c r="G841" i="20"/>
  <c r="G472" i="20"/>
  <c r="G236" i="20"/>
  <c r="G246" i="20"/>
  <c r="G146" i="20"/>
  <c r="G775" i="20"/>
  <c r="G248" i="20"/>
  <c r="G734" i="20"/>
  <c r="G118" i="20"/>
  <c r="G556" i="20"/>
  <c r="G489" i="20"/>
  <c r="G490" i="20"/>
  <c r="G1022" i="20"/>
  <c r="G488" i="20"/>
  <c r="G217" i="20"/>
  <c r="G665" i="20"/>
  <c r="G133" i="20"/>
  <c r="G745" i="20"/>
  <c r="G294" i="20"/>
  <c r="G1026" i="20"/>
  <c r="G785" i="20"/>
  <c r="G237" i="20"/>
  <c r="G874" i="20"/>
  <c r="G502" i="20"/>
  <c r="G644" i="20"/>
  <c r="G751" i="20"/>
  <c r="G406" i="20"/>
  <c r="G116" i="20"/>
  <c r="G661" i="20"/>
  <c r="G732" i="20"/>
  <c r="G507" i="20"/>
  <c r="G768" i="20"/>
  <c r="G790" i="20"/>
  <c r="G1058" i="20"/>
  <c r="G202" i="20"/>
  <c r="N178" i="20" s="1"/>
  <c r="G1020" i="20"/>
  <c r="G242" i="20"/>
  <c r="G669" i="20"/>
  <c r="G943" i="20"/>
  <c r="G951" i="20"/>
  <c r="G313" i="20"/>
  <c r="G383" i="20"/>
  <c r="G421" i="20"/>
  <c r="G918" i="20"/>
  <c r="G750" i="20"/>
  <c r="G658" i="20"/>
  <c r="G220" i="20"/>
  <c r="G681" i="20"/>
  <c r="G698" i="20"/>
  <c r="G122" i="20"/>
  <c r="G468" i="20"/>
  <c r="G675" i="20"/>
  <c r="G739" i="20"/>
  <c r="G1029" i="20"/>
  <c r="G643" i="20"/>
  <c r="G1016" i="20"/>
  <c r="G1015" i="20"/>
  <c r="G412" i="20"/>
  <c r="G296" i="20"/>
  <c r="G463" i="20"/>
  <c r="G672" i="20"/>
  <c r="G471" i="20"/>
  <c r="N448" i="20" s="1"/>
  <c r="G1052" i="20"/>
  <c r="G753" i="20"/>
  <c r="G477" i="20"/>
  <c r="G596" i="20"/>
  <c r="G581" i="20"/>
  <c r="G557" i="20"/>
  <c r="G761" i="20"/>
  <c r="G842" i="20"/>
  <c r="G150" i="20"/>
  <c r="G321" i="20"/>
  <c r="G947" i="20"/>
  <c r="G765" i="20"/>
  <c r="G608" i="20"/>
  <c r="G302" i="20"/>
  <c r="G120" i="20"/>
  <c r="G578" i="20"/>
  <c r="G754" i="20"/>
  <c r="G769" i="20"/>
  <c r="G845" i="20"/>
  <c r="G516" i="20"/>
  <c r="G151" i="20"/>
  <c r="G649" i="20"/>
  <c r="G960" i="20"/>
  <c r="G965" i="20"/>
  <c r="G125" i="20"/>
  <c r="G1041" i="20"/>
  <c r="G340" i="20"/>
  <c r="G496" i="20"/>
  <c r="G497" i="20"/>
  <c r="G381" i="20"/>
  <c r="N358" i="20" s="1"/>
  <c r="G836" i="20"/>
  <c r="G784" i="20"/>
  <c r="G233" i="20"/>
  <c r="G851" i="20"/>
  <c r="G741" i="20"/>
  <c r="N718" i="20" s="1"/>
  <c r="G917" i="20"/>
  <c r="G926" i="20"/>
  <c r="G320" i="20"/>
  <c r="G586" i="20"/>
  <c r="G324" i="20"/>
  <c r="G736" i="20"/>
  <c r="G574" i="20"/>
  <c r="G143" i="20"/>
  <c r="G968" i="20"/>
  <c r="G1055" i="20"/>
  <c r="G416" i="20"/>
  <c r="G130" i="20"/>
  <c r="G876" i="20"/>
  <c r="G399" i="20"/>
  <c r="G852" i="20"/>
  <c r="G283" i="20"/>
  <c r="G1059" i="20"/>
  <c r="G740" i="20"/>
  <c r="G757" i="20"/>
  <c r="G492" i="20"/>
  <c r="G954" i="20"/>
  <c r="G199" i="20"/>
  <c r="G868" i="20"/>
  <c r="G1053" i="20"/>
  <c r="G483" i="20"/>
  <c r="G949" i="20"/>
  <c r="G587" i="20"/>
  <c r="G193" i="20"/>
  <c r="G403" i="20"/>
  <c r="G389" i="20"/>
  <c r="G282" i="20"/>
  <c r="G821" i="20"/>
  <c r="G1046" i="20"/>
  <c r="G760" i="20"/>
  <c r="G735" i="20"/>
  <c r="G247" i="20"/>
  <c r="G469" i="20"/>
  <c r="G673" i="20"/>
  <c r="G849" i="20"/>
  <c r="G196" i="20"/>
  <c r="G1045" i="20"/>
  <c r="G476" i="20"/>
  <c r="G101" i="20"/>
  <c r="G879" i="20"/>
  <c r="G1040" i="20"/>
  <c r="G1024" i="20"/>
  <c r="G293" i="20"/>
  <c r="G641" i="20"/>
  <c r="G139" i="20"/>
  <c r="G142" i="20"/>
  <c r="G218" i="20"/>
  <c r="G504" i="20"/>
  <c r="G198" i="20"/>
  <c r="G129" i="20"/>
  <c r="I97" i="20"/>
  <c r="G312" i="20"/>
  <c r="G789" i="20"/>
  <c r="G914" i="20"/>
  <c r="G600" i="20"/>
  <c r="G865" i="20"/>
  <c r="G598" i="20"/>
  <c r="G287" i="20"/>
  <c r="G499" i="20"/>
  <c r="G931" i="20"/>
  <c r="G228" i="20"/>
  <c r="G749" i="20"/>
  <c r="G957" i="20"/>
  <c r="G933" i="20"/>
  <c r="G493" i="20"/>
  <c r="G695" i="20"/>
  <c r="G474" i="20"/>
  <c r="G155" i="20"/>
  <c r="G670" i="20"/>
  <c r="G225" i="20"/>
  <c r="G391" i="20"/>
  <c r="G158" i="20"/>
  <c r="G214" i="20"/>
  <c r="G205" i="20"/>
  <c r="G657" i="20"/>
  <c r="G1047" i="20"/>
  <c r="G786" i="20"/>
  <c r="G239" i="20"/>
  <c r="G377" i="20"/>
  <c r="G692" i="20"/>
  <c r="G674" i="20"/>
  <c r="G148" i="20"/>
  <c r="G956" i="20"/>
  <c r="G191" i="20"/>
  <c r="G929" i="20"/>
  <c r="G303" i="20"/>
  <c r="G915" i="20"/>
  <c r="G291" i="20"/>
  <c r="G308" i="20"/>
  <c r="G371" i="20"/>
  <c r="G863" i="20"/>
  <c r="G422" i="20"/>
  <c r="G776" i="20"/>
  <c r="G292" i="20"/>
  <c r="N268" i="20" s="1"/>
  <c r="G779" i="20"/>
  <c r="G206" i="20"/>
  <c r="G319" i="20"/>
  <c r="G203" i="20"/>
  <c r="G1006" i="20"/>
  <c r="G337" i="20"/>
  <c r="G946" i="20"/>
  <c r="G737" i="20"/>
  <c r="G833" i="20"/>
  <c r="G215" i="20"/>
  <c r="G317" i="20"/>
  <c r="G603" i="20"/>
  <c r="G1049" i="20"/>
  <c r="G919" i="20"/>
  <c r="G936" i="20"/>
  <c r="G553" i="20"/>
  <c r="G861" i="20"/>
  <c r="G582" i="20"/>
  <c r="G831" i="20"/>
  <c r="G106" i="20"/>
  <c r="G666" i="20"/>
  <c r="G480" i="20"/>
  <c r="G192" i="20"/>
  <c r="G1027" i="20"/>
  <c r="G928" i="20"/>
  <c r="G209" i="20"/>
  <c r="G560" i="20"/>
  <c r="G418" i="20"/>
  <c r="G281" i="20"/>
  <c r="G515" i="20"/>
  <c r="G124" i="20"/>
  <c r="G114" i="20"/>
  <c r="G870" i="20"/>
  <c r="G873" i="20"/>
  <c r="G112" i="20"/>
  <c r="N88" i="20" s="1"/>
  <c r="G428" i="20"/>
  <c r="G563" i="20"/>
  <c r="G678" i="20"/>
  <c r="G102" i="20"/>
  <c r="G299" i="20"/>
  <c r="G573" i="20"/>
  <c r="G969" i="20"/>
  <c r="G465" i="20"/>
  <c r="G1011" i="20"/>
  <c r="G683" i="20"/>
  <c r="G338" i="20"/>
  <c r="G609" i="20"/>
  <c r="G200" i="20"/>
  <c r="G913" i="20"/>
  <c r="G835" i="20"/>
  <c r="G867" i="20"/>
  <c r="G427" i="20"/>
  <c r="G339" i="20"/>
  <c r="G152" i="20"/>
  <c r="G1017" i="20"/>
  <c r="G610" i="20"/>
  <c r="G405" i="20"/>
  <c r="G284" i="20"/>
  <c r="G1036" i="20"/>
  <c r="G517" i="20"/>
  <c r="G955" i="20"/>
  <c r="G375" i="20"/>
  <c r="G1038" i="20"/>
  <c r="G562" i="20"/>
  <c r="G1010" i="20"/>
  <c r="G398" i="20"/>
  <c r="G121" i="20"/>
  <c r="G668" i="20"/>
  <c r="G588" i="20"/>
  <c r="G229" i="20"/>
  <c r="G323" i="20"/>
  <c r="G417" i="20"/>
  <c r="G117" i="20"/>
  <c r="G394" i="20"/>
  <c r="G401" i="20"/>
  <c r="G295" i="20"/>
  <c r="G372" i="20"/>
  <c r="G491" i="20"/>
  <c r="G648" i="20"/>
  <c r="G424" i="20"/>
  <c r="G593" i="20"/>
  <c r="G752" i="20"/>
  <c r="G839" i="20"/>
  <c r="G1023" i="20"/>
  <c r="G597" i="20"/>
  <c r="G128" i="20"/>
  <c r="G145" i="20"/>
  <c r="G747" i="20"/>
  <c r="G520" i="20"/>
  <c r="G554" i="20"/>
  <c r="G941" i="20"/>
  <c r="G1044" i="20"/>
  <c r="G119" i="20"/>
  <c r="G576" i="20"/>
  <c r="G854" i="20"/>
  <c r="G759" i="20"/>
  <c r="G224" i="20"/>
  <c r="G1005" i="20"/>
  <c r="G932" i="20"/>
  <c r="G604" i="20"/>
  <c r="G953" i="20"/>
  <c r="G1033" i="20"/>
  <c r="G1014" i="20"/>
  <c r="G950" i="20"/>
  <c r="G300" i="20"/>
  <c r="G846" i="20"/>
  <c r="G221" i="20"/>
  <c r="G429" i="20"/>
  <c r="G230" i="20"/>
  <c r="G478" i="20"/>
  <c r="G115" i="20"/>
  <c r="G1054" i="20"/>
  <c r="G838" i="20"/>
  <c r="G482" i="20"/>
  <c r="G772" i="20"/>
  <c r="G948" i="20"/>
  <c r="G423" i="20"/>
  <c r="G959" i="20"/>
  <c r="G249" i="20"/>
  <c r="G1042" i="20"/>
  <c r="G501" i="20"/>
  <c r="G379" i="20"/>
  <c r="G426" i="20"/>
  <c r="G511" i="20"/>
  <c r="G601" i="20"/>
  <c r="G219" i="20"/>
  <c r="G110" i="20"/>
  <c r="G1008" i="20"/>
  <c r="G335" i="20"/>
  <c r="G758" i="20"/>
  <c r="G1030" i="20"/>
  <c r="G766" i="20"/>
  <c r="G506" i="20"/>
  <c r="G869" i="20"/>
  <c r="G878" i="20"/>
  <c r="G1039" i="20"/>
  <c r="G827" i="20"/>
  <c r="G568" i="20"/>
  <c r="G584" i="20"/>
  <c r="G137" i="20"/>
  <c r="G467" i="20"/>
  <c r="G771" i="20"/>
  <c r="G1001" i="20"/>
  <c r="G144" i="20"/>
  <c r="G393" i="20"/>
  <c r="G825" i="20"/>
  <c r="G194" i="20"/>
  <c r="G559" i="20"/>
  <c r="G411" i="20"/>
  <c r="G871" i="20"/>
  <c r="G470" i="20"/>
  <c r="G763" i="20"/>
  <c r="G565" i="20"/>
  <c r="G201" i="20"/>
  <c r="G970" i="20"/>
  <c r="G591" i="20"/>
  <c r="G788" i="20"/>
  <c r="G927" i="20"/>
  <c r="G944" i="20"/>
  <c r="G830" i="20"/>
  <c r="G113" i="20"/>
  <c r="G583" i="20"/>
  <c r="G305" i="20"/>
  <c r="G508" i="20"/>
  <c r="G699" i="20"/>
  <c r="G686" i="20"/>
  <c r="G301" i="20"/>
  <c r="G743" i="20"/>
  <c r="G425" i="20"/>
  <c r="G961" i="20"/>
  <c r="G510" i="20"/>
  <c r="G1004" i="20"/>
  <c r="G310" i="20"/>
  <c r="G519" i="20"/>
  <c r="G388" i="20"/>
  <c r="G663" i="20"/>
  <c r="G783" i="20"/>
  <c r="G326" i="20"/>
  <c r="G687" i="20"/>
  <c r="G378" i="20"/>
  <c r="G646" i="20"/>
  <c r="G822" i="20"/>
  <c r="G298" i="20"/>
  <c r="G407" i="20"/>
  <c r="G848" i="20"/>
  <c r="H160" i="13"/>
  <c r="N898" i="20" l="1"/>
  <c r="G1061" i="20"/>
  <c r="G251" i="20"/>
  <c r="G701" i="20"/>
  <c r="G881" i="20"/>
  <c r="G341" i="20"/>
  <c r="H962" i="20"/>
  <c r="I962" i="20" s="1"/>
  <c r="H123" i="20"/>
  <c r="I123" i="20" s="1"/>
  <c r="H607" i="20"/>
  <c r="I607" i="20" s="1"/>
  <c r="H968" i="20"/>
  <c r="I968" i="20" s="1"/>
  <c r="H870" i="20"/>
  <c r="I870" i="20" s="1"/>
  <c r="H486" i="20"/>
  <c r="I486" i="20" s="1"/>
  <c r="H1021" i="20"/>
  <c r="I1021" i="20" s="1"/>
  <c r="H741" i="20"/>
  <c r="H586" i="20"/>
  <c r="I586" i="20" s="1"/>
  <c r="H861" i="20"/>
  <c r="I861" i="20" s="1"/>
  <c r="H859" i="20"/>
  <c r="I859" i="20" s="1"/>
  <c r="H606" i="20"/>
  <c r="I606" i="20" s="1"/>
  <c r="H233" i="20"/>
  <c r="I233" i="20" s="1"/>
  <c r="H281" i="20"/>
  <c r="H936" i="20"/>
  <c r="I936" i="20" s="1"/>
  <c r="H411" i="20"/>
  <c r="I411" i="20" s="1"/>
  <c r="H682" i="20"/>
  <c r="I682" i="20" s="1"/>
  <c r="H199" i="20"/>
  <c r="I199" i="20" s="1"/>
  <c r="H210" i="20"/>
  <c r="I210" i="20" s="1"/>
  <c r="H583" i="20"/>
  <c r="I583" i="20" s="1"/>
  <c r="H319" i="20"/>
  <c r="I319" i="20" s="1"/>
  <c r="H285" i="20"/>
  <c r="I285" i="20" s="1"/>
  <c r="H122" i="20"/>
  <c r="I122" i="20" s="1"/>
  <c r="H945" i="20"/>
  <c r="I945" i="20" s="1"/>
  <c r="H790" i="20"/>
  <c r="I790" i="20" s="1"/>
  <c r="H382" i="20"/>
  <c r="I382" i="20" s="1"/>
  <c r="H139" i="20"/>
  <c r="I139" i="20" s="1"/>
  <c r="H960" i="20"/>
  <c r="I960" i="20" s="1"/>
  <c r="H570" i="20"/>
  <c r="I570" i="20" s="1"/>
  <c r="H108" i="20"/>
  <c r="I108" i="20" s="1"/>
  <c r="H101" i="20"/>
  <c r="H951" i="20"/>
  <c r="I951" i="20" s="1"/>
  <c r="H691" i="20"/>
  <c r="I691" i="20" s="1"/>
  <c r="H328" i="20"/>
  <c r="I328" i="20" s="1"/>
  <c r="H232" i="20"/>
  <c r="I232" i="20" s="1"/>
  <c r="H641" i="20"/>
  <c r="H751" i="20"/>
  <c r="I751" i="20" s="1"/>
  <c r="H970" i="20"/>
  <c r="I970" i="20" s="1"/>
  <c r="H776" i="20"/>
  <c r="I776" i="20" s="1"/>
  <c r="H332" i="20"/>
  <c r="I332" i="20" s="1"/>
  <c r="H947" i="20"/>
  <c r="I947" i="20" s="1"/>
  <c r="H403" i="20"/>
  <c r="I403" i="20" s="1"/>
  <c r="H406" i="20"/>
  <c r="I406" i="20" s="1"/>
  <c r="H557" i="20"/>
  <c r="I557" i="20" s="1"/>
  <c r="H499" i="20"/>
  <c r="I499" i="20" s="1"/>
  <c r="H518" i="20"/>
  <c r="I518" i="20" s="1"/>
  <c r="H574" i="20"/>
  <c r="I574" i="20" s="1"/>
  <c r="H463" i="20"/>
  <c r="I463" i="20" s="1"/>
  <c r="H1015" i="20"/>
  <c r="I1015" i="20" s="1"/>
  <c r="H374" i="20"/>
  <c r="I374" i="20" s="1"/>
  <c r="H955" i="20"/>
  <c r="I955" i="20" s="1"/>
  <c r="H330" i="20"/>
  <c r="I330" i="20" s="1"/>
  <c r="H1055" i="20"/>
  <c r="I1055" i="20" s="1"/>
  <c r="H309" i="20"/>
  <c r="I309" i="20" s="1"/>
  <c r="H337" i="20"/>
  <c r="I337" i="20" s="1"/>
  <c r="H913" i="20"/>
  <c r="I913" i="20" s="1"/>
  <c r="H823" i="20"/>
  <c r="I823" i="20" s="1"/>
  <c r="H598" i="20"/>
  <c r="I598" i="20" s="1"/>
  <c r="H461" i="20"/>
  <c r="H841" i="20"/>
  <c r="I841" i="20" s="1"/>
  <c r="H600" i="20"/>
  <c r="I600" i="20" s="1"/>
  <c r="H1032" i="20"/>
  <c r="I1032" i="20" s="1"/>
  <c r="H418" i="20"/>
  <c r="I418" i="20" s="1"/>
  <c r="H584" i="20"/>
  <c r="I584" i="20" s="1"/>
  <c r="H1036" i="20"/>
  <c r="I1036" i="20" s="1"/>
  <c r="H117" i="20"/>
  <c r="I117" i="20" s="1"/>
  <c r="H863" i="20"/>
  <c r="I863" i="20" s="1"/>
  <c r="H238" i="20"/>
  <c r="I238" i="20" s="1"/>
  <c r="H1022" i="20"/>
  <c r="I1022" i="20" s="1"/>
  <c r="H293" i="20"/>
  <c r="I293" i="20" s="1"/>
  <c r="H1052" i="20"/>
  <c r="I1052" i="20" s="1"/>
  <c r="H925" i="20"/>
  <c r="I925" i="20" s="1"/>
  <c r="H110" i="20"/>
  <c r="I110" i="20" s="1"/>
  <c r="H112" i="20"/>
  <c r="H395" i="20"/>
  <c r="I395" i="20" s="1"/>
  <c r="H118" i="20"/>
  <c r="I118" i="20" s="1"/>
  <c r="H667" i="20"/>
  <c r="I667" i="20" s="1"/>
  <c r="H333" i="20"/>
  <c r="I333" i="20" s="1"/>
  <c r="H736" i="20"/>
  <c r="I736" i="20" s="1"/>
  <c r="H482" i="20"/>
  <c r="I482" i="20" s="1"/>
  <c r="H393" i="20"/>
  <c r="I393" i="20" s="1"/>
  <c r="H462" i="20"/>
  <c r="I462" i="20" s="1"/>
  <c r="H648" i="20"/>
  <c r="I648" i="20" s="1"/>
  <c r="H934" i="20"/>
  <c r="I934" i="20" s="1"/>
  <c r="H219" i="20"/>
  <c r="I219" i="20" s="1"/>
  <c r="H770" i="20"/>
  <c r="I770" i="20" s="1"/>
  <c r="H207" i="20"/>
  <c r="I207" i="20" s="1"/>
  <c r="H376" i="20"/>
  <c r="I376" i="20" s="1"/>
  <c r="H699" i="20"/>
  <c r="I699" i="20" s="1"/>
  <c r="H136" i="20"/>
  <c r="I136" i="20" s="1"/>
  <c r="H497" i="20"/>
  <c r="I497" i="20" s="1"/>
  <c r="H473" i="20"/>
  <c r="I473" i="20" s="1"/>
  <c r="H1007" i="20"/>
  <c r="I1007" i="20" s="1"/>
  <c r="H192" i="20"/>
  <c r="I192" i="20" s="1"/>
  <c r="H405" i="20"/>
  <c r="I405" i="20" s="1"/>
  <c r="H848" i="20"/>
  <c r="I848" i="20" s="1"/>
  <c r="H388" i="20"/>
  <c r="I388" i="20" s="1"/>
  <c r="H475" i="20"/>
  <c r="I475" i="20" s="1"/>
  <c r="H154" i="20"/>
  <c r="I154" i="20" s="1"/>
  <c r="H375" i="20"/>
  <c r="I375" i="20" s="1"/>
  <c r="H133" i="20"/>
  <c r="I133" i="20" s="1"/>
  <c r="H759" i="20"/>
  <c r="I759" i="20" s="1"/>
  <c r="H480" i="20"/>
  <c r="I480" i="20" s="1"/>
  <c r="H148" i="20"/>
  <c r="I148" i="20" s="1"/>
  <c r="H323" i="20"/>
  <c r="I323" i="20" s="1"/>
  <c r="H594" i="20"/>
  <c r="I594" i="20" s="1"/>
  <c r="H287" i="20"/>
  <c r="I287" i="20" s="1"/>
  <c r="H768" i="20"/>
  <c r="I768" i="20" s="1"/>
  <c r="H1054" i="20"/>
  <c r="I1054" i="20" s="1"/>
  <c r="H129" i="20"/>
  <c r="I129" i="20" s="1"/>
  <c r="H683" i="20"/>
  <c r="I683" i="20" s="1"/>
  <c r="H939" i="20"/>
  <c r="I939" i="20" s="1"/>
  <c r="H291" i="20"/>
  <c r="I291" i="20" s="1"/>
  <c r="H1041" i="20"/>
  <c r="I1041" i="20" s="1"/>
  <c r="H327" i="20"/>
  <c r="I327" i="20" s="1"/>
  <c r="H875" i="20"/>
  <c r="I875" i="20" s="1"/>
  <c r="H862" i="20"/>
  <c r="I862" i="20" s="1"/>
  <c r="H466" i="20"/>
  <c r="I466" i="20" s="1"/>
  <c r="H304" i="20"/>
  <c r="I304" i="20" s="1"/>
  <c r="H150" i="20"/>
  <c r="I150" i="20" s="1"/>
  <c r="H383" i="20"/>
  <c r="I383" i="20" s="1"/>
  <c r="H208" i="20"/>
  <c r="I208" i="20" s="1"/>
  <c r="H153" i="20"/>
  <c r="I153" i="20" s="1"/>
  <c r="H762" i="20"/>
  <c r="I762" i="20" s="1"/>
  <c r="H120" i="20"/>
  <c r="I120" i="20" s="1"/>
  <c r="H772" i="20"/>
  <c r="I772" i="20" s="1"/>
  <c r="H506" i="20"/>
  <c r="I506" i="20" s="1"/>
  <c r="H320" i="20"/>
  <c r="I320" i="20" s="1"/>
  <c r="H954" i="20"/>
  <c r="I954" i="20" s="1"/>
  <c r="H596" i="20"/>
  <c r="I596" i="20" s="1"/>
  <c r="H575" i="20"/>
  <c r="I575" i="20" s="1"/>
  <c r="H873" i="20"/>
  <c r="I873" i="20" s="1"/>
  <c r="H134" i="20"/>
  <c r="I134" i="20" s="1"/>
  <c r="H284" i="20"/>
  <c r="I284" i="20" s="1"/>
  <c r="H825" i="20"/>
  <c r="I825" i="20" s="1"/>
  <c r="H651" i="20"/>
  <c r="H130" i="20"/>
  <c r="I130" i="20" s="1"/>
  <c r="H857" i="20"/>
  <c r="I857" i="20" s="1"/>
  <c r="H1049" i="20"/>
  <c r="I1049" i="20" s="1"/>
  <c r="H850" i="20"/>
  <c r="I850" i="20" s="1"/>
  <c r="H1013" i="20"/>
  <c r="I1013" i="20" s="1"/>
  <c r="H379" i="20"/>
  <c r="I379" i="20" s="1"/>
  <c r="H551" i="20"/>
  <c r="H310" i="20"/>
  <c r="I310" i="20" s="1"/>
  <c r="H946" i="20"/>
  <c r="I946" i="20" s="1"/>
  <c r="H1003" i="20"/>
  <c r="I1003" i="20" s="1"/>
  <c r="H555" i="20"/>
  <c r="I555" i="20" s="1"/>
  <c r="H158" i="20"/>
  <c r="I158" i="20" s="1"/>
  <c r="H571" i="20"/>
  <c r="I571" i="20" s="1"/>
  <c r="H1023" i="20"/>
  <c r="I1023" i="20" s="1"/>
  <c r="H401" i="20"/>
  <c r="I401" i="20" s="1"/>
  <c r="H1029" i="20"/>
  <c r="I1029" i="20" s="1"/>
  <c r="H239" i="20"/>
  <c r="I239" i="20" s="1"/>
  <c r="H385" i="20"/>
  <c r="I385" i="20" s="1"/>
  <c r="H864" i="20"/>
  <c r="I864" i="20" s="1"/>
  <c r="H782" i="20"/>
  <c r="I782" i="20" s="1"/>
  <c r="H500" i="20"/>
  <c r="I500" i="20" s="1"/>
  <c r="H697" i="20"/>
  <c r="I697" i="20" s="1"/>
  <c r="H839" i="20"/>
  <c r="I839" i="20" s="1"/>
  <c r="H938" i="20"/>
  <c r="I938" i="20" s="1"/>
  <c r="H156" i="20"/>
  <c r="I156" i="20" s="1"/>
  <c r="H305" i="20"/>
  <c r="I305" i="20" s="1"/>
  <c r="H944" i="20"/>
  <c r="I944" i="20" s="1"/>
  <c r="H144" i="20"/>
  <c r="I144" i="20" s="1"/>
  <c r="H749" i="20"/>
  <c r="I749" i="20" s="1"/>
  <c r="H413" i="20"/>
  <c r="I413" i="20" s="1"/>
  <c r="H1024" i="20"/>
  <c r="I1024" i="20" s="1"/>
  <c r="H289" i="20"/>
  <c r="I289" i="20" s="1"/>
  <c r="H111" i="20"/>
  <c r="I111" i="20" s="1"/>
  <c r="H949" i="20"/>
  <c r="I949" i="20" s="1"/>
  <c r="H590" i="20"/>
  <c r="I590" i="20" s="1"/>
  <c r="H684" i="20"/>
  <c r="I684" i="20" s="1"/>
  <c r="H558" i="20"/>
  <c r="I558" i="20" s="1"/>
  <c r="H1006" i="20"/>
  <c r="I1006" i="20" s="1"/>
  <c r="H488" i="20"/>
  <c r="I488" i="20" s="1"/>
  <c r="H921" i="20"/>
  <c r="I921" i="20" s="1"/>
  <c r="H677" i="20"/>
  <c r="I677" i="20" s="1"/>
  <c r="H1030" i="20"/>
  <c r="I1030" i="20" s="1"/>
  <c r="H789" i="20"/>
  <c r="I789" i="20" s="1"/>
  <c r="H672" i="20"/>
  <c r="I672" i="20" s="1"/>
  <c r="H747" i="20"/>
  <c r="I747" i="20" s="1"/>
  <c r="H476" i="20"/>
  <c r="I476" i="20" s="1"/>
  <c r="H483" i="20"/>
  <c r="I483" i="20" s="1"/>
  <c r="H295" i="20"/>
  <c r="I295" i="20" s="1"/>
  <c r="H299" i="20"/>
  <c r="I299" i="20" s="1"/>
  <c r="H660" i="20"/>
  <c r="I660" i="20" s="1"/>
  <c r="H937" i="20"/>
  <c r="I937" i="20" s="1"/>
  <c r="H845" i="20"/>
  <c r="I845" i="20" s="1"/>
  <c r="H426" i="20"/>
  <c r="I426" i="20" s="1"/>
  <c r="H866" i="20"/>
  <c r="I866" i="20" s="1"/>
  <c r="H668" i="20"/>
  <c r="I668" i="20" s="1"/>
  <c r="H417" i="20"/>
  <c r="I417" i="20" s="1"/>
  <c r="H105" i="20"/>
  <c r="I105" i="20" s="1"/>
  <c r="H748" i="20"/>
  <c r="I748" i="20" s="1"/>
  <c r="H1058" i="20"/>
  <c r="I1058" i="20" s="1"/>
  <c r="H377" i="20"/>
  <c r="I377" i="20" s="1"/>
  <c r="H733" i="20"/>
  <c r="I733" i="20" s="1"/>
  <c r="H220" i="20"/>
  <c r="I220" i="20" s="1"/>
  <c r="H739" i="20"/>
  <c r="I739" i="20" s="1"/>
  <c r="H297" i="20"/>
  <c r="I297" i="20" s="1"/>
  <c r="H224" i="20"/>
  <c r="I224" i="20" s="1"/>
  <c r="H196" i="20"/>
  <c r="I196" i="20" s="1"/>
  <c r="H930" i="20"/>
  <c r="I930" i="20" s="1"/>
  <c r="H145" i="20"/>
  <c r="I145" i="20" s="1"/>
  <c r="H933" i="20"/>
  <c r="I933" i="20" s="1"/>
  <c r="H481" i="20"/>
  <c r="I481" i="20" s="1"/>
  <c r="H313" i="20"/>
  <c r="I313" i="20" s="1"/>
  <c r="H314" i="20"/>
  <c r="I314" i="20" s="1"/>
  <c r="H221" i="20"/>
  <c r="I221" i="20" s="1"/>
  <c r="H113" i="20"/>
  <c r="I113" i="20" s="1"/>
  <c r="H235" i="20"/>
  <c r="I235" i="20" s="1"/>
  <c r="H241" i="20"/>
  <c r="I241" i="20" s="1"/>
  <c r="H396" i="20"/>
  <c r="I396" i="20" s="1"/>
  <c r="H753" i="20"/>
  <c r="I753" i="20" s="1"/>
  <c r="H502" i="20"/>
  <c r="I502" i="20" s="1"/>
  <c r="H695" i="20"/>
  <c r="I695" i="20" s="1"/>
  <c r="H372" i="20"/>
  <c r="I372" i="20" s="1"/>
  <c r="H679" i="20"/>
  <c r="I679" i="20" s="1"/>
  <c r="H410" i="20"/>
  <c r="I410" i="20" s="1"/>
  <c r="H1040" i="20"/>
  <c r="I1040" i="20" s="1"/>
  <c r="H950" i="20"/>
  <c r="I950" i="20" s="1"/>
  <c r="H678" i="20"/>
  <c r="I678" i="20" s="1"/>
  <c r="H965" i="20"/>
  <c r="I965" i="20" s="1"/>
  <c r="H673" i="20"/>
  <c r="I673" i="20" s="1"/>
  <c r="H421" i="20"/>
  <c r="I421" i="20" s="1"/>
  <c r="H915" i="20"/>
  <c r="I915" i="20" s="1"/>
  <c r="H119" i="20"/>
  <c r="I119" i="20" s="1"/>
  <c r="H1008" i="20"/>
  <c r="I1008" i="20" s="1"/>
  <c r="H397" i="20"/>
  <c r="I397" i="20" s="1"/>
  <c r="H585" i="20"/>
  <c r="I585" i="20" s="1"/>
  <c r="H472" i="20"/>
  <c r="I472" i="20" s="1"/>
  <c r="H1034" i="20"/>
  <c r="I1034" i="20" s="1"/>
  <c r="H856" i="20"/>
  <c r="I856" i="20" s="1"/>
  <c r="H298" i="20"/>
  <c r="I298" i="20" s="1"/>
  <c r="H829" i="20"/>
  <c r="I829" i="20" s="1"/>
  <c r="H149" i="20"/>
  <c r="I149" i="20" s="1"/>
  <c r="H694" i="20"/>
  <c r="I694" i="20" s="1"/>
  <c r="H487" i="20"/>
  <c r="I487" i="20" s="1"/>
  <c r="H926" i="20"/>
  <c r="I926" i="20" s="1"/>
  <c r="H1045" i="20"/>
  <c r="I1045" i="20" s="1"/>
  <c r="H213" i="20"/>
  <c r="I213" i="20" s="1"/>
  <c r="H777" i="20"/>
  <c r="I777" i="20" s="1"/>
  <c r="H1048" i="20"/>
  <c r="I1048" i="20" s="1"/>
  <c r="H787" i="20"/>
  <c r="I787" i="20" s="1"/>
  <c r="H580" i="20"/>
  <c r="I580" i="20" s="1"/>
  <c r="H248" i="20"/>
  <c r="I248" i="20" s="1"/>
  <c r="H745" i="20"/>
  <c r="I745" i="20" s="1"/>
  <c r="H774" i="20"/>
  <c r="I774" i="20" s="1"/>
  <c r="H489" i="20"/>
  <c r="I489" i="20" s="1"/>
  <c r="H935" i="20"/>
  <c r="I935" i="20" s="1"/>
  <c r="H743" i="20"/>
  <c r="I743" i="20" s="1"/>
  <c r="H591" i="20"/>
  <c r="I591" i="20" s="1"/>
  <c r="H732" i="20"/>
  <c r="I732" i="20" s="1"/>
  <c r="H312" i="20"/>
  <c r="I312" i="20" s="1"/>
  <c r="H308" i="20"/>
  <c r="I308" i="20" s="1"/>
  <c r="H142" i="20"/>
  <c r="I142" i="20" s="1"/>
  <c r="H1059" i="20"/>
  <c r="I1059" i="20" s="1"/>
  <c r="H244" i="20"/>
  <c r="I244" i="20" s="1"/>
  <c r="H846" i="20"/>
  <c r="I846" i="20" s="1"/>
  <c r="H740" i="20"/>
  <c r="I740" i="20" s="1"/>
  <c r="H849" i="20"/>
  <c r="I849" i="20" s="1"/>
  <c r="H125" i="20"/>
  <c r="I125" i="20" s="1"/>
  <c r="H653" i="20"/>
  <c r="I653" i="20" s="1"/>
  <c r="H428" i="20"/>
  <c r="I428" i="20" s="1"/>
  <c r="H1042" i="20"/>
  <c r="I1042" i="20" s="1"/>
  <c r="H851" i="20"/>
  <c r="I851" i="20" s="1"/>
  <c r="H843" i="20"/>
  <c r="I843" i="20" s="1"/>
  <c r="H250" i="20"/>
  <c r="I250" i="20" s="1"/>
  <c r="H696" i="20"/>
  <c r="I696" i="20" s="1"/>
  <c r="H871" i="20"/>
  <c r="I871" i="20" s="1"/>
  <c r="H474" i="20"/>
  <c r="I474" i="20" s="1"/>
  <c r="H830" i="20"/>
  <c r="I830" i="20" s="1"/>
  <c r="H784" i="20"/>
  <c r="I784" i="20" s="1"/>
  <c r="H116" i="20"/>
  <c r="I116" i="20" s="1"/>
  <c r="H211" i="20"/>
  <c r="I211" i="20" s="1"/>
  <c r="H126" i="20"/>
  <c r="I126" i="20" s="1"/>
  <c r="H666" i="20"/>
  <c r="I666" i="20" s="1"/>
  <c r="H1001" i="20"/>
  <c r="H322" i="20"/>
  <c r="I322" i="20" s="1"/>
  <c r="H779" i="20"/>
  <c r="I779" i="20" s="1"/>
  <c r="H642" i="20"/>
  <c r="I642" i="20" s="1"/>
  <c r="H964" i="20"/>
  <c r="I964" i="20" s="1"/>
  <c r="H479" i="20"/>
  <c r="I479" i="20" s="1"/>
  <c r="H415" i="20"/>
  <c r="I415" i="20" s="1"/>
  <c r="H425" i="20"/>
  <c r="I425" i="20" s="1"/>
  <c r="H423" i="20"/>
  <c r="I423" i="20" s="1"/>
  <c r="H599" i="20"/>
  <c r="I599" i="20" s="1"/>
  <c r="H152" i="20"/>
  <c r="I152" i="20" s="1"/>
  <c r="H236" i="20"/>
  <c r="I236" i="20" s="1"/>
  <c r="H237" i="20"/>
  <c r="I237" i="20" s="1"/>
  <c r="H966" i="20"/>
  <c r="I966" i="20" s="1"/>
  <c r="H737" i="20"/>
  <c r="I737" i="20" s="1"/>
  <c r="H140" i="20"/>
  <c r="I140" i="20" s="1"/>
  <c r="H750" i="20"/>
  <c r="I750" i="20" s="1"/>
  <c r="H833" i="20"/>
  <c r="I833" i="20" s="1"/>
  <c r="H408" i="20"/>
  <c r="I408" i="20" s="1"/>
  <c r="H874" i="20"/>
  <c r="I874" i="20" s="1"/>
  <c r="H159" i="20"/>
  <c r="I159" i="20" s="1"/>
  <c r="H306" i="20"/>
  <c r="I306" i="20" s="1"/>
  <c r="H940" i="20"/>
  <c r="I940" i="20" s="1"/>
  <c r="H468" i="20"/>
  <c r="I468" i="20" s="1"/>
  <c r="H553" i="20"/>
  <c r="I553" i="20" s="1"/>
  <c r="H588" i="20"/>
  <c r="I588" i="20" s="1"/>
  <c r="H494" i="20"/>
  <c r="I494" i="20" s="1"/>
  <c r="H228" i="20"/>
  <c r="I228" i="20" s="1"/>
  <c r="H1002" i="20"/>
  <c r="I1002" i="20" s="1"/>
  <c r="H568" i="20"/>
  <c r="I568" i="20" s="1"/>
  <c r="H844" i="20"/>
  <c r="I844" i="20" s="1"/>
  <c r="H763" i="20"/>
  <c r="I763" i="20" s="1"/>
  <c r="H131" i="20"/>
  <c r="I131" i="20" s="1"/>
  <c r="H387" i="20"/>
  <c r="I387" i="20" s="1"/>
  <c r="H760" i="20"/>
  <c r="I760" i="20" s="1"/>
  <c r="H141" i="20"/>
  <c r="I141" i="20" s="1"/>
  <c r="H582" i="20"/>
  <c r="I582" i="20" s="1"/>
  <c r="H1005" i="20"/>
  <c r="I1005" i="20" s="1"/>
  <c r="H300" i="20"/>
  <c r="I300" i="20" s="1"/>
  <c r="H879" i="20"/>
  <c r="I879" i="20" s="1"/>
  <c r="H700" i="20"/>
  <c r="I700" i="20" s="1"/>
  <c r="H1038" i="20"/>
  <c r="I1038" i="20" s="1"/>
  <c r="H755" i="20"/>
  <c r="I755" i="20" s="1"/>
  <c r="H655" i="20"/>
  <c r="I655" i="20" s="1"/>
  <c r="H510" i="20"/>
  <c r="I510" i="20" s="1"/>
  <c r="H831" i="20"/>
  <c r="I831" i="20" s="1"/>
  <c r="H242" i="20"/>
  <c r="I242" i="20" s="1"/>
  <c r="H247" i="20"/>
  <c r="I247" i="20" s="1"/>
  <c r="H517" i="20"/>
  <c r="I517" i="20" s="1"/>
  <c r="H744" i="20"/>
  <c r="I744" i="20" s="1"/>
  <c r="H773" i="20"/>
  <c r="I773" i="20" s="1"/>
  <c r="H788" i="20"/>
  <c r="I788" i="20" s="1"/>
  <c r="H245" i="20"/>
  <c r="I245" i="20" s="1"/>
  <c r="H484" i="20"/>
  <c r="I484" i="20" s="1"/>
  <c r="H592" i="20"/>
  <c r="I592" i="20" s="1"/>
  <c r="H769" i="20"/>
  <c r="I769" i="20" s="1"/>
  <c r="H686" i="20"/>
  <c r="I686" i="20" s="1"/>
  <c r="H880" i="20"/>
  <c r="I880" i="20" s="1"/>
  <c r="H563" i="20"/>
  <c r="I563" i="20" s="1"/>
  <c r="H963" i="20"/>
  <c r="I963" i="20" s="1"/>
  <c r="H761" i="20"/>
  <c r="I761" i="20" s="1"/>
  <c r="H392" i="20"/>
  <c r="I392" i="20" s="1"/>
  <c r="H202" i="20"/>
  <c r="H838" i="20"/>
  <c r="I838" i="20" s="1"/>
  <c r="H464" i="20"/>
  <c r="I464" i="20" s="1"/>
  <c r="H878" i="20"/>
  <c r="I878" i="20" s="1"/>
  <c r="H1046" i="20"/>
  <c r="I1046" i="20" s="1"/>
  <c r="H1053" i="20"/>
  <c r="I1053" i="20" s="1"/>
  <c r="H505" i="20"/>
  <c r="I505" i="20" s="1"/>
  <c r="H217" i="20"/>
  <c r="I217" i="20" s="1"/>
  <c r="H317" i="20"/>
  <c r="I317" i="20" s="1"/>
  <c r="H920" i="20"/>
  <c r="H578" i="20"/>
  <c r="I578" i="20" s="1"/>
  <c r="H290" i="20"/>
  <c r="I290" i="20" s="1"/>
  <c r="H508" i="20"/>
  <c r="I508" i="20" s="1"/>
  <c r="H567" i="20"/>
  <c r="I567" i="20" s="1"/>
  <c r="H914" i="20"/>
  <c r="I914" i="20" s="1"/>
  <c r="H603" i="20"/>
  <c r="I603" i="20" s="1"/>
  <c r="H124" i="20"/>
  <c r="I124" i="20" s="1"/>
  <c r="H565" i="20"/>
  <c r="I565" i="20" s="1"/>
  <c r="H1009" i="20"/>
  <c r="H1025" i="20"/>
  <c r="I1025" i="20" s="1"/>
  <c r="H419" i="20"/>
  <c r="I419" i="20" s="1"/>
  <c r="H205" i="20"/>
  <c r="I205" i="20" s="1"/>
  <c r="H204" i="20"/>
  <c r="I204" i="20" s="1"/>
  <c r="H128" i="20"/>
  <c r="I128" i="20" s="1"/>
  <c r="H302" i="20"/>
  <c r="I302" i="20" s="1"/>
  <c r="H231" i="20"/>
  <c r="I231" i="20" s="1"/>
  <c r="H601" i="20"/>
  <c r="I601" i="20" s="1"/>
  <c r="H754" i="20"/>
  <c r="I754" i="20" s="1"/>
  <c r="H151" i="20"/>
  <c r="I151" i="20" s="1"/>
  <c r="H786" i="20"/>
  <c r="I786" i="20" s="1"/>
  <c r="H470" i="20"/>
  <c r="I470" i="20" s="1"/>
  <c r="H1016" i="20"/>
  <c r="I1016" i="20" s="1"/>
  <c r="H198" i="20"/>
  <c r="I198" i="20" s="1"/>
  <c r="H645" i="20"/>
  <c r="I645" i="20" s="1"/>
  <c r="H286" i="20"/>
  <c r="I286" i="20" s="1"/>
  <c r="H138" i="20"/>
  <c r="I138" i="20" s="1"/>
  <c r="H552" i="20"/>
  <c r="I552" i="20" s="1"/>
  <c r="H121" i="20"/>
  <c r="I121" i="20" s="1"/>
  <c r="H465" i="20"/>
  <c r="I465" i="20" s="1"/>
  <c r="H157" i="20"/>
  <c r="I157" i="20" s="1"/>
  <c r="H197" i="20"/>
  <c r="I197" i="20" s="1"/>
  <c r="H381" i="20"/>
  <c r="H430" i="20"/>
  <c r="I430" i="20" s="1"/>
  <c r="H1044" i="20"/>
  <c r="I1044" i="20" s="1"/>
  <c r="H927" i="20"/>
  <c r="I927" i="20" s="1"/>
  <c r="H608" i="20"/>
  <c r="I608" i="20" s="1"/>
  <c r="H840" i="20"/>
  <c r="I840" i="20" s="1"/>
  <c r="H1017" i="20"/>
  <c r="I1017" i="20" s="1"/>
  <c r="H429" i="20"/>
  <c r="I429" i="20" s="1"/>
  <c r="H867" i="20"/>
  <c r="I867" i="20" s="1"/>
  <c r="H559" i="20"/>
  <c r="I559" i="20" s="1"/>
  <c r="H380" i="20"/>
  <c r="I380" i="20" s="1"/>
  <c r="H785" i="20"/>
  <c r="I785" i="20" s="1"/>
  <c r="H577" i="20"/>
  <c r="I577" i="20" s="1"/>
  <c r="H775" i="20"/>
  <c r="I775" i="20" s="1"/>
  <c r="H656" i="20"/>
  <c r="I656" i="20" s="1"/>
  <c r="H301" i="20"/>
  <c r="I301" i="20" s="1"/>
  <c r="H409" i="20"/>
  <c r="I409" i="20" s="1"/>
  <c r="H952" i="20"/>
  <c r="I952" i="20" s="1"/>
  <c r="H1011" i="20"/>
  <c r="I1011" i="20" s="1"/>
  <c r="H229" i="20"/>
  <c r="I229" i="20" s="1"/>
  <c r="H378" i="20"/>
  <c r="I378" i="20" s="1"/>
  <c r="H824" i="20"/>
  <c r="I824" i="20" s="1"/>
  <c r="H519" i="20"/>
  <c r="I519" i="20" s="1"/>
  <c r="H663" i="20"/>
  <c r="I663" i="20" s="1"/>
  <c r="H338" i="20"/>
  <c r="I338" i="20" s="1"/>
  <c r="H689" i="20"/>
  <c r="I689" i="20" s="1"/>
  <c r="H283" i="20"/>
  <c r="I283" i="20" s="1"/>
  <c r="H948" i="20"/>
  <c r="I948" i="20" s="1"/>
  <c r="H412" i="20"/>
  <c r="I412" i="20" s="1"/>
  <c r="H734" i="20"/>
  <c r="I734" i="20" s="1"/>
  <c r="H572" i="20"/>
  <c r="I572" i="20" s="1"/>
  <c r="H1031" i="20"/>
  <c r="I1031" i="20" s="1"/>
  <c r="H155" i="20"/>
  <c r="I155" i="20" s="1"/>
  <c r="H604" i="20"/>
  <c r="I604" i="20" s="1"/>
  <c r="H143" i="20"/>
  <c r="I143" i="20" s="1"/>
  <c r="H912" i="20"/>
  <c r="I912" i="20" s="1"/>
  <c r="H114" i="20"/>
  <c r="I114" i="20" s="1"/>
  <c r="H146" i="20"/>
  <c r="I146" i="20" s="1"/>
  <c r="H564" i="20"/>
  <c r="I564" i="20" s="1"/>
  <c r="H234" i="20"/>
  <c r="I234" i="20" s="1"/>
  <c r="H520" i="20"/>
  <c r="I520" i="20" s="1"/>
  <c r="H331" i="20"/>
  <c r="I331" i="20" s="1"/>
  <c r="H490" i="20"/>
  <c r="I490" i="20" s="1"/>
  <c r="H576" i="20"/>
  <c r="I576" i="20" s="1"/>
  <c r="H491" i="20"/>
  <c r="I491" i="20" s="1"/>
  <c r="H671" i="20"/>
  <c r="I671" i="20" s="1"/>
  <c r="H225" i="20"/>
  <c r="I225" i="20" s="1"/>
  <c r="H498" i="20"/>
  <c r="I498" i="20" s="1"/>
  <c r="H1027" i="20"/>
  <c r="I1027" i="20" s="1"/>
  <c r="H669" i="20"/>
  <c r="I669" i="20" s="1"/>
  <c r="H485" i="20"/>
  <c r="I485" i="20" s="1"/>
  <c r="H566" i="20"/>
  <c r="I566" i="20" s="1"/>
  <c r="H693" i="20"/>
  <c r="I693" i="20" s="1"/>
  <c r="H855" i="20"/>
  <c r="I855" i="20" s="1"/>
  <c r="H407" i="20"/>
  <c r="I407" i="20" s="1"/>
  <c r="H1018" i="20"/>
  <c r="I1018" i="20" s="1"/>
  <c r="H222" i="20"/>
  <c r="I222" i="20" s="1"/>
  <c r="H160" i="20"/>
  <c r="I160" i="20" s="1"/>
  <c r="H216" i="20"/>
  <c r="I216" i="20" s="1"/>
  <c r="H605" i="20"/>
  <c r="I605" i="20" s="1"/>
  <c r="H579" i="20"/>
  <c r="I579" i="20" s="1"/>
  <c r="H560" i="20"/>
  <c r="I560" i="20" s="1"/>
  <c r="H324" i="20"/>
  <c r="I324" i="20" s="1"/>
  <c r="H876" i="20"/>
  <c r="I876" i="20" s="1"/>
  <c r="H690" i="20"/>
  <c r="I690" i="20" s="1"/>
  <c r="H495" i="20"/>
  <c r="I495" i="20" s="1"/>
  <c r="H942" i="20"/>
  <c r="I942" i="20" s="1"/>
  <c r="H493" i="20"/>
  <c r="I493" i="20" s="1"/>
  <c r="H209" i="20"/>
  <c r="I209" i="20" s="1"/>
  <c r="H249" i="20"/>
  <c r="I249" i="20" s="1"/>
  <c r="H758" i="20"/>
  <c r="I758" i="20" s="1"/>
  <c r="H226" i="20"/>
  <c r="I226" i="20" s="1"/>
  <c r="H389" i="20"/>
  <c r="I389" i="20" s="1"/>
  <c r="H589" i="20"/>
  <c r="I589" i="20" s="1"/>
  <c r="H496" i="20"/>
  <c r="I496" i="20" s="1"/>
  <c r="H422" i="20"/>
  <c r="I422" i="20" s="1"/>
  <c r="H329" i="20"/>
  <c r="I329" i="20" s="1"/>
  <c r="H644" i="20"/>
  <c r="I644" i="20" s="1"/>
  <c r="H201" i="20"/>
  <c r="I201" i="20" s="1"/>
  <c r="H334" i="20"/>
  <c r="I334" i="20" s="1"/>
  <c r="H587" i="20"/>
  <c r="I587" i="20" s="1"/>
  <c r="H321" i="20"/>
  <c r="I321" i="20" s="1"/>
  <c r="H764" i="20"/>
  <c r="I764" i="20" s="1"/>
  <c r="H102" i="20"/>
  <c r="I102" i="20" s="1"/>
  <c r="H681" i="20"/>
  <c r="I681" i="20" s="1"/>
  <c r="H218" i="20"/>
  <c r="I218" i="20" s="1"/>
  <c r="H427" i="20"/>
  <c r="I427" i="20" s="1"/>
  <c r="H511" i="20"/>
  <c r="I511" i="20" s="1"/>
  <c r="H384" i="20"/>
  <c r="I384" i="20" s="1"/>
  <c r="H916" i="20"/>
  <c r="I916" i="20" s="1"/>
  <c r="H404" i="20"/>
  <c r="I404" i="20" s="1"/>
  <c r="H400" i="20"/>
  <c r="I400" i="20" s="1"/>
  <c r="H467" i="20"/>
  <c r="I467" i="20" s="1"/>
  <c r="H778" i="20"/>
  <c r="I778" i="20" s="1"/>
  <c r="H835" i="20"/>
  <c r="I835" i="20" s="1"/>
  <c r="H766" i="20"/>
  <c r="I766" i="20" s="1"/>
  <c r="H765" i="20"/>
  <c r="I765" i="20" s="1"/>
  <c r="H294" i="20"/>
  <c r="I294" i="20" s="1"/>
  <c r="H507" i="20"/>
  <c r="I507" i="20" s="1"/>
  <c r="H929" i="20"/>
  <c r="I929" i="20" s="1"/>
  <c r="H852" i="20"/>
  <c r="I852" i="20" s="1"/>
  <c r="H674" i="20"/>
  <c r="I674" i="20" s="1"/>
  <c r="H193" i="20"/>
  <c r="I193" i="20" s="1"/>
  <c r="H501" i="20"/>
  <c r="I501" i="20" s="1"/>
  <c r="H195" i="20"/>
  <c r="I195" i="20" s="1"/>
  <c r="H137" i="20"/>
  <c r="I137" i="20" s="1"/>
  <c r="H680" i="20"/>
  <c r="I680" i="20" s="1"/>
  <c r="H516" i="20"/>
  <c r="I516" i="20" s="1"/>
  <c r="H1010" i="20"/>
  <c r="I1010" i="20" s="1"/>
  <c r="H325" i="20"/>
  <c r="I325" i="20" s="1"/>
  <c r="H959" i="20"/>
  <c r="I959" i="20" s="1"/>
  <c r="H692" i="20"/>
  <c r="I692" i="20" s="1"/>
  <c r="H318" i="20"/>
  <c r="I318" i="20" s="1"/>
  <c r="H307" i="20"/>
  <c r="I307" i="20" s="1"/>
  <c r="H821" i="20"/>
  <c r="H858" i="20"/>
  <c r="I858" i="20" s="1"/>
  <c r="H869" i="20"/>
  <c r="I869" i="20" s="1"/>
  <c r="H398" i="20"/>
  <c r="I398" i="20" s="1"/>
  <c r="H919" i="20"/>
  <c r="I919" i="20" s="1"/>
  <c r="H336" i="20"/>
  <c r="I336" i="20" s="1"/>
  <c r="H687" i="20"/>
  <c r="I687" i="20" s="1"/>
  <c r="H1014" i="20"/>
  <c r="I1014" i="20" s="1"/>
  <c r="H659" i="20"/>
  <c r="I659" i="20" s="1"/>
  <c r="H654" i="20"/>
  <c r="I654" i="20" s="1"/>
  <c r="H514" i="20"/>
  <c r="I514" i="20" s="1"/>
  <c r="H756" i="20"/>
  <c r="I756" i="20" s="1"/>
  <c r="H386" i="20"/>
  <c r="I386" i="20" s="1"/>
  <c r="H1043" i="20"/>
  <c r="I1043" i="20" s="1"/>
  <c r="H647" i="20"/>
  <c r="I647" i="20" s="1"/>
  <c r="H1051" i="20"/>
  <c r="I1051" i="20" s="1"/>
  <c r="H1057" i="20"/>
  <c r="I1057" i="20" s="1"/>
  <c r="H646" i="20"/>
  <c r="I646" i="20" s="1"/>
  <c r="H872" i="20"/>
  <c r="I872" i="20" s="1"/>
  <c r="H200" i="20"/>
  <c r="I200" i="20" s="1"/>
  <c r="H941" i="20"/>
  <c r="I941" i="20" s="1"/>
  <c r="H738" i="20"/>
  <c r="I738" i="20" s="1"/>
  <c r="H573" i="20"/>
  <c r="I573" i="20" s="1"/>
  <c r="H731" i="20"/>
  <c r="H402" i="20"/>
  <c r="I402" i="20" s="1"/>
  <c r="H757" i="20"/>
  <c r="I757" i="20" s="1"/>
  <c r="H135" i="20"/>
  <c r="I135" i="20" s="1"/>
  <c r="H420" i="20"/>
  <c r="I420" i="20" s="1"/>
  <c r="H610" i="20"/>
  <c r="I610" i="20" s="1"/>
  <c r="H115" i="20"/>
  <c r="I115" i="20" s="1"/>
  <c r="H315" i="20"/>
  <c r="I315" i="20" s="1"/>
  <c r="H399" i="20"/>
  <c r="I399" i="20" s="1"/>
  <c r="H826" i="20"/>
  <c r="I826" i="20" s="1"/>
  <c r="H928" i="20"/>
  <c r="I928" i="20" s="1"/>
  <c r="H649" i="20"/>
  <c r="I649" i="20" s="1"/>
  <c r="H1060" i="20"/>
  <c r="I1060" i="20" s="1"/>
  <c r="H922" i="20"/>
  <c r="I922" i="20" s="1"/>
  <c r="H246" i="20"/>
  <c r="I246" i="20" s="1"/>
  <c r="H147" i="20"/>
  <c r="I147" i="20" s="1"/>
  <c r="H924" i="20"/>
  <c r="I924" i="20" s="1"/>
  <c r="H1033" i="20"/>
  <c r="I1033" i="20" s="1"/>
  <c r="H832" i="20"/>
  <c r="H917" i="20"/>
  <c r="I917" i="20" s="1"/>
  <c r="H836" i="20"/>
  <c r="I836" i="20" s="1"/>
  <c r="H1004" i="20"/>
  <c r="I1004" i="20" s="1"/>
  <c r="H292" i="20"/>
  <c r="H956" i="20"/>
  <c r="I956" i="20" s="1"/>
  <c r="H650" i="20"/>
  <c r="I650" i="20" s="1"/>
  <c r="H868" i="20"/>
  <c r="I868" i="20" s="1"/>
  <c r="H512" i="20"/>
  <c r="I512" i="20" s="1"/>
  <c r="H643" i="20"/>
  <c r="I643" i="20" s="1"/>
  <c r="H877" i="20"/>
  <c r="I877" i="20" s="1"/>
  <c r="H109" i="20"/>
  <c r="I109" i="20" s="1"/>
  <c r="H335" i="20"/>
  <c r="I335" i="20" s="1"/>
  <c r="H416" i="20"/>
  <c r="I416" i="20" s="1"/>
  <c r="H1035" i="20"/>
  <c r="I1035" i="20" s="1"/>
  <c r="H953" i="20"/>
  <c r="I953" i="20" s="1"/>
  <c r="H107" i="20"/>
  <c r="I107" i="20" s="1"/>
  <c r="H316" i="20"/>
  <c r="I316" i="20" s="1"/>
  <c r="H391" i="20"/>
  <c r="I391" i="20" s="1"/>
  <c r="H932" i="20"/>
  <c r="I932" i="20" s="1"/>
  <c r="H513" i="20"/>
  <c r="I513" i="20" s="1"/>
  <c r="H752" i="20"/>
  <c r="I752" i="20" s="1"/>
  <c r="H911" i="20"/>
  <c r="H688" i="20"/>
  <c r="I688" i="20" s="1"/>
  <c r="H478" i="20"/>
  <c r="I478" i="20" s="1"/>
  <c r="H1039" i="20"/>
  <c r="I1039" i="20" s="1"/>
  <c r="H212" i="20"/>
  <c r="I212" i="20" s="1"/>
  <c r="H240" i="20"/>
  <c r="I240" i="20" s="1"/>
  <c r="H562" i="20"/>
  <c r="I562" i="20" s="1"/>
  <c r="H842" i="20"/>
  <c r="I842" i="20" s="1"/>
  <c r="H223" i="20"/>
  <c r="I223" i="20" s="1"/>
  <c r="H771" i="20"/>
  <c r="I771" i="20" s="1"/>
  <c r="H698" i="20"/>
  <c r="I698" i="20" s="1"/>
  <c r="H783" i="20"/>
  <c r="I783" i="20" s="1"/>
  <c r="H414" i="20"/>
  <c r="I414" i="20" s="1"/>
  <c r="H923" i="20"/>
  <c r="I923" i="20" s="1"/>
  <c r="H390" i="20"/>
  <c r="I390" i="20" s="1"/>
  <c r="H675" i="20"/>
  <c r="I675" i="20" s="1"/>
  <c r="H961" i="20"/>
  <c r="I961" i="20" s="1"/>
  <c r="H742" i="20"/>
  <c r="I742" i="20" s="1"/>
  <c r="H822" i="20"/>
  <c r="I822" i="20" s="1"/>
  <c r="H853" i="20"/>
  <c r="I853" i="20" s="1"/>
  <c r="H127" i="20"/>
  <c r="I127" i="20" s="1"/>
  <c r="H227" i="20"/>
  <c r="I227" i="20" s="1"/>
  <c r="H1019" i="20"/>
  <c r="I1019" i="20" s="1"/>
  <c r="H1020" i="20"/>
  <c r="I1020" i="20" s="1"/>
  <c r="H103" i="20"/>
  <c r="I103" i="20" s="1"/>
  <c r="H652" i="20"/>
  <c r="I652" i="20" s="1"/>
  <c r="H471" i="20"/>
  <c r="H243" i="20"/>
  <c r="I243" i="20" s="1"/>
  <c r="H504" i="20"/>
  <c r="I504" i="20" s="1"/>
  <c r="H593" i="20"/>
  <c r="I593" i="20" s="1"/>
  <c r="H477" i="20"/>
  <c r="I477" i="20" s="1"/>
  <c r="H469" i="20"/>
  <c r="I469" i="20" s="1"/>
  <c r="H1050" i="20"/>
  <c r="I1050" i="20" s="1"/>
  <c r="H296" i="20"/>
  <c r="I296" i="20" s="1"/>
  <c r="H685" i="20"/>
  <c r="I685" i="20" s="1"/>
  <c r="H662" i="20"/>
  <c r="I662" i="20" s="1"/>
  <c r="H556" i="20"/>
  <c r="I556" i="20" s="1"/>
  <c r="H569" i="20"/>
  <c r="I569" i="20" s="1"/>
  <c r="H230" i="20"/>
  <c r="I230" i="20" s="1"/>
  <c r="H664" i="20"/>
  <c r="I664" i="20" s="1"/>
  <c r="H860" i="20"/>
  <c r="I860" i="20" s="1"/>
  <c r="H303" i="20"/>
  <c r="I303" i="20" s="1"/>
  <c r="H969" i="20"/>
  <c r="I969" i="20" s="1"/>
  <c r="H676" i="20"/>
  <c r="I676" i="20" s="1"/>
  <c r="H206" i="20"/>
  <c r="I206" i="20" s="1"/>
  <c r="H657" i="20"/>
  <c r="I657" i="20" s="1"/>
  <c r="H943" i="20"/>
  <c r="I943" i="20" s="1"/>
  <c r="H658" i="20"/>
  <c r="I658" i="20" s="1"/>
  <c r="H1037" i="20"/>
  <c r="I1037" i="20" s="1"/>
  <c r="H104" i="20"/>
  <c r="I104" i="20" s="1"/>
  <c r="H1056" i="20"/>
  <c r="I1056" i="20" s="1"/>
  <c r="H918" i="20"/>
  <c r="I918" i="20" s="1"/>
  <c r="H746" i="20"/>
  <c r="I746" i="20" s="1"/>
  <c r="H373" i="20"/>
  <c r="I373" i="20" s="1"/>
  <c r="H1028" i="20"/>
  <c r="I1028" i="20" s="1"/>
  <c r="H106" i="20"/>
  <c r="I106" i="20" s="1"/>
  <c r="H597" i="20"/>
  <c r="I597" i="20" s="1"/>
  <c r="H661" i="20"/>
  <c r="I661" i="20" s="1"/>
  <c r="H1047" i="20"/>
  <c r="I1047" i="20" s="1"/>
  <c r="H340" i="20"/>
  <c r="I340" i="20" s="1"/>
  <c r="H854" i="20"/>
  <c r="I854" i="20" s="1"/>
  <c r="H735" i="20"/>
  <c r="I735" i="20" s="1"/>
  <c r="H781" i="20"/>
  <c r="I781" i="20" s="1"/>
  <c r="H957" i="20"/>
  <c r="I957" i="20" s="1"/>
  <c r="H847" i="20"/>
  <c r="I847" i="20" s="1"/>
  <c r="H780" i="20"/>
  <c r="I780" i="20" s="1"/>
  <c r="H214" i="20"/>
  <c r="I214" i="20" s="1"/>
  <c r="H288" i="20"/>
  <c r="I288" i="20" s="1"/>
  <c r="H509" i="20"/>
  <c r="I509" i="20" s="1"/>
  <c r="H132" i="20"/>
  <c r="I132" i="20" s="1"/>
  <c r="H827" i="20"/>
  <c r="I827" i="20" s="1"/>
  <c r="H394" i="20"/>
  <c r="I394" i="20" s="1"/>
  <c r="H1026" i="20"/>
  <c r="I1026" i="20" s="1"/>
  <c r="H828" i="20"/>
  <c r="I828" i="20" s="1"/>
  <c r="H191" i="20"/>
  <c r="H837" i="20"/>
  <c r="I837" i="20" s="1"/>
  <c r="H561" i="20"/>
  <c r="H492" i="20"/>
  <c r="I492" i="20" s="1"/>
  <c r="H865" i="20"/>
  <c r="I865" i="20" s="1"/>
  <c r="H554" i="20"/>
  <c r="I554" i="20" s="1"/>
  <c r="H515" i="20"/>
  <c r="I515" i="20" s="1"/>
  <c r="H834" i="20"/>
  <c r="I834" i="20" s="1"/>
  <c r="H1012" i="20"/>
  <c r="I1012" i="20" s="1"/>
  <c r="H665" i="20"/>
  <c r="I665" i="20" s="1"/>
  <c r="H958" i="20"/>
  <c r="I958" i="20" s="1"/>
  <c r="H203" i="20"/>
  <c r="I203" i="20" s="1"/>
  <c r="H595" i="20"/>
  <c r="I595" i="20" s="1"/>
  <c r="H194" i="20"/>
  <c r="I194" i="20" s="1"/>
  <c r="H581" i="20"/>
  <c r="I581" i="20" s="1"/>
  <c r="H503" i="20"/>
  <c r="I503" i="20" s="1"/>
  <c r="H602" i="20"/>
  <c r="I602" i="20" s="1"/>
  <c r="H311" i="20"/>
  <c r="I311" i="20" s="1"/>
  <c r="H215" i="20"/>
  <c r="I215" i="20" s="1"/>
  <c r="H967" i="20"/>
  <c r="I967" i="20" s="1"/>
  <c r="H339" i="20"/>
  <c r="I339" i="20" s="1"/>
  <c r="H282" i="20"/>
  <c r="I282" i="20" s="1"/>
  <c r="H931" i="20"/>
  <c r="I931" i="20" s="1"/>
  <c r="H609" i="20"/>
  <c r="I609" i="20" s="1"/>
  <c r="H767" i="20"/>
  <c r="I767" i="20" s="1"/>
  <c r="H670" i="20"/>
  <c r="I670" i="20" s="1"/>
  <c r="H371" i="20"/>
  <c r="H326" i="20"/>
  <c r="I326" i="20" s="1"/>
  <c r="H424" i="20"/>
  <c r="I424" i="20" s="1"/>
  <c r="G431" i="20"/>
  <c r="G971" i="20"/>
  <c r="I160" i="13"/>
  <c r="J100" i="13"/>
  <c r="J160" i="13" s="1"/>
  <c r="G611" i="20"/>
  <c r="G161" i="20"/>
  <c r="G791" i="20"/>
  <c r="G521" i="20"/>
  <c r="M26" i="20" l="1"/>
  <c r="G24" i="2" s="1"/>
  <c r="L24" i="2" s="1"/>
  <c r="I292" i="20"/>
  <c r="N269" i="20"/>
  <c r="N270" i="20" s="1"/>
  <c r="I202" i="20"/>
  <c r="N179" i="20"/>
  <c r="N180" i="20" s="1"/>
  <c r="I641" i="20"/>
  <c r="H701" i="20"/>
  <c r="I461" i="20"/>
  <c r="H521" i="20"/>
  <c r="H431" i="20"/>
  <c r="I371" i="20"/>
  <c r="N539" i="20"/>
  <c r="N540" i="20" s="1"/>
  <c r="I561" i="20"/>
  <c r="I112" i="20"/>
  <c r="N89" i="20"/>
  <c r="H251" i="20"/>
  <c r="I191" i="20"/>
  <c r="I471" i="20"/>
  <c r="N449" i="20"/>
  <c r="N450" i="20" s="1"/>
  <c r="I832" i="20"/>
  <c r="N809" i="20"/>
  <c r="N810" i="20" s="1"/>
  <c r="N629" i="20"/>
  <c r="N630" i="20" s="1"/>
  <c r="I651" i="20"/>
  <c r="N719" i="20"/>
  <c r="N720" i="20" s="1"/>
  <c r="I741" i="20"/>
  <c r="I821" i="20"/>
  <c r="H881" i="20"/>
  <c r="H611" i="20"/>
  <c r="I551" i="20"/>
  <c r="I101" i="20"/>
  <c r="H161" i="20"/>
  <c r="I911" i="20"/>
  <c r="H971" i="20"/>
  <c r="I731" i="20"/>
  <c r="H791" i="20"/>
  <c r="I1009" i="20"/>
  <c r="N989" i="20"/>
  <c r="N990" i="20" s="1"/>
  <c r="H1061" i="20"/>
  <c r="I1001" i="20"/>
  <c r="H341" i="20"/>
  <c r="I281" i="20"/>
  <c r="N359" i="20"/>
  <c r="N360" i="20" s="1"/>
  <c r="I381" i="20"/>
  <c r="I920" i="20"/>
  <c r="N899" i="20"/>
  <c r="N900" i="20" s="1"/>
  <c r="I611" i="20" l="1"/>
  <c r="I161" i="20"/>
  <c r="I1061" i="20"/>
  <c r="I341" i="20"/>
  <c r="I971" i="20"/>
  <c r="I521" i="20"/>
  <c r="I251" i="20"/>
  <c r="N90" i="20"/>
  <c r="N26" i="20"/>
  <c r="O26" i="20" s="1"/>
  <c r="L36" i="2" s="1"/>
  <c r="I701" i="20"/>
  <c r="I431" i="20"/>
  <c r="I791" i="20"/>
  <c r="I881" i="20"/>
</calcChain>
</file>

<file path=xl/sharedStrings.xml><?xml version="1.0" encoding="utf-8"?>
<sst xmlns="http://schemas.openxmlformats.org/spreadsheetml/2006/main" count="2312" uniqueCount="993">
  <si>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</si>
  <si>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</si>
  <si>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</si>
  <si>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</si>
  <si>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</si>
  <si>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</si>
  <si>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</si>
  <si>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</si>
  <si>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</si>
  <si>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</si>
  <si>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</si>
  <si>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</si>
  <si>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</si>
  <si>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</si>
  <si>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</si>
  <si>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</si>
  <si>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</si>
  <si>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</si>
  <si>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</si>
  <si>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</si>
  <si>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</si>
  <si>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</si>
  <si>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</si>
  <si>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</si>
  <si>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</si>
  <si>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</si>
  <si>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</si>
  <si>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</si>
  <si>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</si>
  <si>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</si>
  <si>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</si>
  <si>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</si>
  <si>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</si>
  <si>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</si>
  <si>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</si>
  <si>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</si>
  <si>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</si>
  <si>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</si>
  <si>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</si>
  <si>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</si>
  <si>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</si>
  <si>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</si>
  <si>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</si>
  <si>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</si>
  <si>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</si>
  <si>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</si>
  <si>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</si>
  <si>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</si>
  <si>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</si>
  <si>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</si>
  <si>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</si>
  <si>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</si>
  <si>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</si>
  <si>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</si>
  <si>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</si>
  <si>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</si>
  <si>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</si>
  <si>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</si>
  <si>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</si>
  <si>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</si>
  <si>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</si>
  <si>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</si>
  <si>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</si>
  <si>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</si>
  <si>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</si>
  <si>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</si>
  <si>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</si>
  <si>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</si>
  <si>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</si>
  <si>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</si>
  <si>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</si>
  <si>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</si>
  <si>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</si>
  <si>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</si>
  <si>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</si>
  <si>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</si>
  <si>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</si>
  <si>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</si>
  <si>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</si>
  <si>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</si>
  <si>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</si>
  <si>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</si>
  <si>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</si>
  <si>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</si>
  <si>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</si>
  <si>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</si>
  <si>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</si>
  <si>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</si>
  <si>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</si>
  <si>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</si>
  <si>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</si>
  <si>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</si>
  <si>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</si>
  <si>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</si>
  <si>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</si>
  <si>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</si>
  <si>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</si>
  <si>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</si>
  <si>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</si>
  <si>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</si>
  <si>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</si>
  <si>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</si>
  <si>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</si>
  <si>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</si>
  <si>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</si>
  <si>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</si>
  <si>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</si>
  <si>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</si>
  <si>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</si>
  <si>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</si>
  <si>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</si>
  <si>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</si>
  <si>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</si>
  <si>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</si>
  <si>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</si>
  <si>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</si>
  <si>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</si>
  <si>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</si>
  <si>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</si>
  <si>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</si>
  <si>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</si>
  <si>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</si>
  <si>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</si>
  <si>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</si>
  <si>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</si>
  <si>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</si>
  <si>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</si>
  <si>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</si>
  <si>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</si>
  <si>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</si>
  <si>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</si>
  <si>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</si>
  <si>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</si>
  <si>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</si>
  <si>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</si>
  <si>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</si>
  <si>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</si>
  <si>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</si>
  <si>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</si>
  <si>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</si>
  <si>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</si>
  <si>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</si>
  <si>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</si>
  <si>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</si>
  <si>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</si>
  <si>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</si>
  <si>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</si>
  <si>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</si>
  <si>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</si>
  <si>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</si>
  <si>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</si>
  <si>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</si>
  <si>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</si>
  <si>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</si>
  <si>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</si>
  <si>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</si>
  <si>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</si>
  <si>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</si>
  <si>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</si>
  <si>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</si>
  <si>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</si>
  <si>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</si>
  <si>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</si>
  <si>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</si>
  <si>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</si>
  <si>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</si>
  <si>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</si>
  <si>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</si>
  <si>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</si>
  <si>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</si>
  <si>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</si>
  <si>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</si>
  <si>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</si>
  <si>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</si>
  <si>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</si>
  <si>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</si>
  <si>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</si>
  <si>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</si>
  <si>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</si>
  <si>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</si>
  <si>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</si>
  <si>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</si>
  <si>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</si>
  <si>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</si>
  <si>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</si>
  <si>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</si>
  <si>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</si>
  <si>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</si>
  <si>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</si>
  <si>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</si>
  <si>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</si>
  <si>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</si>
  <si>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</si>
  <si>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</si>
  <si>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</si>
  <si>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</si>
  <si>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</si>
  <si>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</si>
  <si>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</si>
  <si>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</si>
  <si>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</si>
  <si>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</si>
  <si>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</si>
  <si>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</si>
  <si>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</si>
  <si>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</si>
  <si>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</si>
  <si>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</si>
  <si>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</si>
  <si>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</si>
  <si>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</si>
  <si>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</si>
  <si>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</si>
  <si>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</si>
  <si>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</si>
  <si>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</si>
  <si>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</si>
  <si>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</si>
  <si>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</si>
  <si>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</si>
  <si>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</si>
  <si>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</si>
  <si>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</si>
  <si>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</si>
  <si>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</si>
  <si>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</si>
  <si>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</si>
  <si>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</si>
  <si>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</si>
  <si>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</si>
  <si>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</si>
  <si>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</si>
  <si>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</si>
  <si>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</si>
  <si>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</si>
  <si>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</si>
  <si>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</si>
  <si>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</si>
  <si>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</si>
  <si>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</si>
  <si>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</si>
  <si>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</si>
  <si>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</si>
  <si>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</si>
  <si>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</si>
  <si>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</si>
  <si>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</si>
  <si>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</si>
  <si>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</si>
  <si>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</si>
  <si>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</si>
  <si>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</si>
  <si>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</si>
  <si>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</si>
  <si>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</si>
  <si>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</si>
  <si>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</si>
  <si>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</si>
  <si>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</si>
  <si>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</si>
  <si>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</si>
  <si>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</si>
  <si>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</si>
  <si>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</si>
  <si>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</si>
  <si>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</si>
  <si>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</si>
  <si>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</si>
  <si>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</si>
  <si>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</si>
  <si>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</si>
  <si>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</si>
  <si>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</si>
  <si>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</si>
  <si>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</si>
  <si>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</si>
  <si>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</si>
  <si>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</si>
  <si>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</si>
  <si>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</si>
  <si>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</si>
  <si>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</si>
  <si>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</si>
  <si>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</si>
  <si>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</si>
  <si>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</si>
  <si>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</si>
  <si>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</si>
  <si>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</si>
  <si>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</si>
  <si>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</si>
  <si>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</si>
  <si>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</si>
  <si>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</si>
  <si>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</si>
  <si>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</si>
  <si>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</si>
  <si>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</si>
  <si>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</si>
  <si>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</si>
  <si>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</si>
  <si>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</si>
  <si>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</si>
  <si>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</si>
  <si>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</si>
  <si>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</si>
  <si>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</si>
  <si>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</si>
  <si>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</si>
  <si>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</si>
  <si>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</si>
  <si>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</si>
  <si>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</si>
  <si>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</si>
  <si>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</si>
  <si>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</si>
  <si>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</si>
  <si>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</si>
  <si>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</si>
  <si>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</si>
  <si>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</si>
  <si>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</si>
  <si>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</si>
  <si>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</si>
  <si>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</si>
  <si>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</si>
  <si>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</si>
  <si>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</si>
  <si>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</si>
  <si>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</si>
  <si>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</si>
  <si>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</si>
  <si>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</si>
  <si>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</si>
  <si>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</si>
  <si>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</si>
  <si>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</si>
  <si>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</si>
  <si>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</si>
  <si>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</si>
  <si>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</si>
  <si>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</si>
  <si>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</si>
  <si>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</si>
  <si>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</si>
  <si>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</si>
  <si>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</si>
  <si>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</si>
  <si>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</si>
  <si>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</si>
  <si>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</si>
  <si>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</si>
  <si>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</si>
  <si>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</si>
  <si>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</si>
  <si>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</si>
  <si>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</si>
  <si>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</si>
  <si>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</si>
  <si>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</si>
  <si>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</si>
  <si>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</si>
  <si>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</si>
  <si>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</si>
  <si>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</si>
  <si>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</si>
  <si>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</si>
  <si>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</si>
  <si>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</si>
  <si>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</si>
  <si>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</si>
  <si>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</si>
  <si>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</si>
  <si>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</si>
  <si>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</si>
  <si>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</si>
  <si>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</si>
  <si>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</si>
  <si>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</si>
  <si>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</si>
  <si>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</si>
  <si>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</si>
  <si>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</si>
  <si>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</si>
  <si>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</si>
  <si>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</si>
  <si>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</si>
  <si>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</si>
  <si>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</si>
  <si>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</si>
  <si>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</si>
  <si>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</si>
  <si>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</si>
  <si>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</si>
  <si>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</si>
  <si>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</si>
  <si>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</si>
  <si>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</si>
  <si>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</si>
  <si>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</si>
  <si>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</si>
  <si>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</si>
  <si>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</si>
  <si>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</si>
  <si>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</si>
  <si>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</si>
  <si>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</si>
  <si>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</si>
  <si>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</si>
  <si>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</si>
  <si>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</si>
  <si>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</si>
  <si>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</si>
  <si>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</si>
  <si>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</si>
  <si>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</si>
  <si>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</si>
  <si>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</si>
  <si>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</si>
  <si>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</si>
  <si>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</si>
  <si>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</si>
  <si>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</si>
  <si>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</si>
  <si>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</si>
  <si>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</si>
  <si>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</si>
  <si>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</si>
  <si>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</si>
  <si>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</si>
  <si>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</si>
  <si>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</si>
  <si>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</si>
  <si>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</si>
  <si>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</si>
  <si>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</si>
  <si>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</si>
  <si>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</si>
  <si>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</si>
  <si>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</si>
  <si>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</si>
  <si>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</si>
  <si>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</si>
  <si>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</si>
  <si>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</si>
  <si>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</si>
  <si>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</si>
  <si>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</si>
  <si>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</si>
  <si>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</si>
  <si>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</si>
  <si>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</si>
  <si>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</si>
  <si>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</si>
  <si>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</si>
  <si>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</si>
  <si>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</si>
  <si>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</si>
  <si>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</si>
  <si>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</si>
  <si>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</si>
  <si>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</si>
  <si>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</si>
  <si>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</si>
  <si>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</si>
  <si>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</si>
  <si>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</si>
  <si>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</si>
  <si>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</si>
  <si>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</si>
  <si>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</si>
  <si>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</si>
  <si>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</si>
  <si>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</si>
  <si>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</si>
  <si>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</si>
  <si>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</si>
  <si>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</si>
  <si>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</si>
  <si>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</si>
  <si>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</si>
  <si>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</si>
  <si>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</si>
  <si>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</si>
  <si>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</si>
  <si>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</si>
  <si>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</si>
  <si>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</si>
  <si>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</si>
  <si>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</si>
  <si>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</si>
  <si>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</si>
  <si>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</si>
  <si>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</si>
  <si>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</si>
  <si>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</si>
  <si>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</si>
  <si>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</si>
  <si>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</si>
  <si>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</si>
  <si>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</si>
  <si>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</si>
  <si>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</si>
  <si>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</si>
  <si>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</si>
  <si>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</si>
  <si>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</si>
  <si>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</si>
  <si>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</si>
  <si>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</si>
  <si>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</si>
  <si>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</si>
  <si>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</si>
  <si>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</si>
  <si>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</si>
  <si>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</si>
  <si>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</si>
  <si>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</si>
  <si>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</si>
  <si>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</si>
  <si>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</si>
  <si>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</si>
  <si>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</si>
  <si>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</si>
  <si>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</si>
  <si>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</si>
  <si>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</si>
  <si>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</si>
  <si>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</si>
  <si>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</si>
  <si>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</si>
  <si>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</si>
  <si>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</si>
  <si>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</si>
  <si>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</si>
  <si>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</si>
  <si>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</si>
  <si>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</si>
  <si>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</si>
  <si>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</si>
  <si>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</si>
  <si>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</si>
  <si>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</si>
  <si>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</si>
  <si>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</si>
  <si>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</si>
  <si>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</si>
  <si>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</si>
  <si>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</si>
  <si>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</si>
  <si>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</si>
  <si>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</si>
  <si>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</si>
  <si>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</si>
  <si>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</si>
  <si>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</si>
  <si>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</si>
  <si>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</si>
  <si>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</si>
  <si>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</si>
  <si>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</si>
  <si>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</si>
  <si>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</si>
  <si>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</si>
  <si>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</si>
  <si>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</si>
  <si>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</si>
  <si>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</si>
  <si>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</si>
  <si>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</si>
  <si>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</si>
  <si>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</si>
  <si>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</si>
  <si>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</si>
  <si>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</si>
  <si>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</si>
  <si>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</si>
  <si>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</si>
  <si>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</si>
  <si>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</si>
  <si>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</si>
  <si>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</si>
  <si>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</si>
  <si>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</si>
  <si>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</si>
  <si>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</si>
  <si>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</si>
  <si>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</si>
  <si>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</si>
  <si>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</si>
  <si>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</si>
  <si>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</si>
  <si>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</si>
  <si>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</si>
  <si>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</si>
  <si>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</si>
  <si>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</si>
  <si>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</si>
  <si>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</si>
  <si>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</si>
  <si>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</si>
  <si>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</si>
  <si>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</si>
  <si>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</si>
  <si>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</si>
  <si>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</si>
  <si>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</si>
  <si>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</si>
  <si>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</si>
  <si>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</si>
  <si>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</si>
  <si>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</si>
  <si>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</si>
  <si>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</si>
  <si>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</si>
  <si>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</si>
  <si>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</si>
  <si>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</si>
  <si>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</si>
  <si>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</si>
  <si>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</si>
  <si>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</si>
  <si>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</si>
  <si>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</si>
  <si>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</si>
  <si>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</si>
  <si>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</si>
  <si>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</si>
  <si>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</si>
  <si>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</si>
  <si>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</si>
  <si>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</si>
  <si>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</si>
  <si>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</si>
  <si>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</si>
  <si>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</si>
  <si>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</si>
  <si>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</si>
  <si>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</si>
  <si>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</si>
  <si>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</si>
  <si>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</si>
  <si>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</si>
  <si>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</si>
  <si>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</si>
  <si>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</si>
  <si>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</si>
  <si>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</si>
  <si>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</si>
  <si>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</si>
  <si>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</si>
  <si>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</si>
  <si>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</si>
  <si>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</si>
  <si>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</si>
  <si>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</si>
  <si>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</si>
  <si>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</si>
  <si>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</si>
  <si>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</si>
  <si>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</si>
  <si>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</si>
  <si>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</si>
  <si>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</si>
  <si>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</si>
  <si>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</si>
  <si>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</si>
  <si>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</si>
  <si>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</si>
  <si>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</si>
  <si>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</si>
  <si>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</si>
  <si>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</si>
  <si>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</si>
  <si>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</si>
  <si>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</si>
  <si>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</si>
  <si>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</si>
  <si>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</si>
  <si>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</si>
  <si>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</si>
  <si>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</si>
  <si>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</si>
  <si>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</si>
  <si>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</si>
  <si>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</si>
  <si>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</si>
  <si>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</si>
  <si>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</si>
  <si>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</si>
  <si>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</si>
  <si>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</si>
  <si>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</si>
  <si>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</si>
  <si>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</si>
  <si>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</si>
  <si>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</si>
  <si>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</si>
  <si>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</si>
  <si>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</si>
  <si>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</si>
  <si>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</si>
  <si>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</si>
  <si>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</si>
  <si>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</si>
  <si>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</si>
  <si>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</si>
  <si>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</si>
  <si>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</si>
  <si>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</si>
  <si>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</si>
  <si>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</si>
  <si>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</si>
  <si>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</si>
  <si>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</si>
  <si>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</si>
  <si>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</si>
  <si>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</si>
  <si>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</si>
  <si>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</si>
  <si>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</si>
  <si>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</si>
  <si>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</si>
  <si>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</si>
  <si>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</si>
  <si>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</si>
  <si>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</si>
  <si>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</si>
  <si>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</si>
  <si>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</si>
  <si>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</si>
  <si>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</si>
  <si>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</si>
  <si>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</si>
  <si>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</si>
  <si>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</si>
  <si>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</si>
  <si>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</si>
  <si>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</si>
  <si>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</si>
  <si>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</si>
  <si>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</si>
  <si>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</si>
  <si>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</si>
  <si>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</si>
  <si>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</si>
  <si>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</si>
  <si>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</si>
  <si>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</si>
  <si>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</si>
  <si>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</si>
  <si>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</si>
  <si>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</si>
  <si>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</si>
  <si>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</si>
  <si>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</si>
  <si>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</si>
  <si>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</si>
  <si>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</si>
  <si>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</si>
  <si>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</si>
  <si>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</si>
  <si>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</si>
  <si>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</si>
  <si>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</si>
  <si>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</si>
  <si>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</si>
  <si>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</si>
  <si>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</si>
  <si>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</si>
  <si>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</si>
  <si>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</si>
  <si>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</si>
  <si>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</si>
  <si>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</si>
  <si>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</si>
  <si>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</si>
  <si>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</si>
  <si>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</si>
  <si>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</si>
  <si>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</si>
  <si>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</si>
  <si>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</si>
  <si>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</si>
  <si>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</si>
  <si>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</si>
  <si>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</si>
  <si>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</si>
  <si>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</si>
  <si>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</si>
  <si>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</si>
  <si>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</si>
  <si>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</si>
  <si>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</si>
  <si>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</si>
  <si>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</si>
  <si>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</si>
  <si>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</si>
  <si>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</si>
  <si>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</si>
  <si>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</si>
  <si>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</si>
  <si>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</si>
  <si>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Prepaid Insurance</t>
  </si>
  <si>
    <t>Prepaid Insurance - EIS</t>
  </si>
  <si>
    <t>Prepaid Lease</t>
  </si>
  <si>
    <t>Misc General Expenses</t>
  </si>
  <si>
    <t>Corporate &amp; Fiscal Expenses</t>
  </si>
  <si>
    <t>Assoc Business Development Exp</t>
  </si>
  <si>
    <t>RTEP ID: b1661 (Install a 765 kV circuit breaker at Wyoming station)</t>
  </si>
  <si>
    <t>No</t>
  </si>
  <si>
    <t>RTEP ID: b1864.1 (Add two additional 345/138 kV transformers at Kammer)</t>
  </si>
  <si>
    <t>RTEP ID: b2021 (Add 345/138 kV Transformers at Sporn, Kanawha River, and Muskingum River stations)</t>
  </si>
  <si>
    <t>RTEP ID: b1948 (Establish a new 765/345 interconnection at Sporn. Install a 765/345 kV transformer at Mountaineer and build ¾ mile of 345 kV to Sporn)</t>
  </si>
  <si>
    <t>RTEP ID: b1962 (Add four 765 kV breakers at Kammer)</t>
  </si>
  <si>
    <t>RTEP ID: b2017 (Reconductor or rebuild Sporn - Waterford - Muskingum River 345 kV line)</t>
  </si>
  <si>
    <t>RTEP ID: b2020 (Rebuild Amos-Kanawha River 138 kV corridor)</t>
  </si>
  <si>
    <t>RTEP ID: b2022 (Terminate Tristate-Kyger Creek 345 kV line at Sporn)</t>
  </si>
  <si>
    <t>RTEP ID: b1875 (138 kV Bradley to McClung upgrades)</t>
  </si>
  <si>
    <t xml:space="preserve"> $                                     -  </t>
  </si>
  <si>
    <t>RTEP ID: b2230 (Replace existing 150 MVAR reactor at Amos 765 kV)</t>
  </si>
  <si>
    <t>RTEP ID: b2423 (Install a 300 MVAR shunt reactor at AEP's Wyoming 765 kV station)</t>
  </si>
  <si>
    <t>West Virginia Transmission Company</t>
  </si>
  <si>
    <t>Plant related insurance policies</t>
  </si>
  <si>
    <t xml:space="preserve">West Virginia Excise Tax Rate </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</si>
  <si>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</si>
  <si>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</si>
  <si>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</si>
  <si>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</si>
  <si>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GENERAL PLANT</t>
  </si>
  <si>
    <t>Stores Equipment</t>
  </si>
  <si>
    <t>Laboratory Equipment</t>
  </si>
  <si>
    <t>WEST VIRGINIA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</si>
  <si>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</si>
  <si>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</si>
  <si>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</si>
  <si>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</si>
  <si>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</si>
  <si>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</si>
  <si>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</si>
  <si>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</si>
  <si>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</si>
  <si>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</si>
  <si>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</si>
  <si>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</si>
  <si>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</si>
  <si>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</si>
  <si>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</si>
  <si>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</si>
  <si>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</si>
  <si>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</si>
  <si>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</si>
  <si>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</si>
  <si>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</si>
  <si>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</si>
  <si>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</si>
  <si>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</si>
  <si>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</si>
  <si>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</si>
  <si>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</si>
  <si>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</si>
  <si>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2.12</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</si>
  <si>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</si>
  <si>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</si>
  <si>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</si>
  <si>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</si>
  <si>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</si>
  <si>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</si>
  <si>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</si>
  <si>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</si>
  <si>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</si>
  <si>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</si>
  <si>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 5.15</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</si>
  <si>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</si>
  <si>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</si>
  <si>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</si>
  <si>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</si>
  <si>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</si>
  <si>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</si>
  <si>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</si>
  <si>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9.04</t>
  </si>
  <si>
    <t>1g</t>
  </si>
  <si>
    <r>
      <t>283</t>
    </r>
    <r>
      <rPr>
        <sz val="9"/>
        <color indexed="10"/>
        <rFont val="Arial"/>
        <family val="2"/>
      </rPr>
      <t>4</t>
    </r>
    <r>
      <rPr>
        <sz val="9"/>
        <rFont val="Arial"/>
        <family val="2"/>
      </rPr>
      <t>001</t>
    </r>
  </si>
  <si>
    <t>ADFIT - Other FAS 109 Excess</t>
  </si>
  <si>
    <t>WS B - 1 Col B/C, ADIT Item 9.07</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</si>
  <si>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</si>
  <si>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</si>
  <si>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</si>
  <si>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</si>
  <si>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</si>
  <si>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</si>
  <si>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</si>
  <si>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</si>
  <si>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</si>
  <si>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</si>
  <si>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</si>
  <si>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</si>
  <si>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</si>
  <si>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</si>
  <si>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</si>
  <si>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</si>
  <si>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</si>
  <si>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</si>
  <si>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</si>
  <si>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</si>
  <si>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</si>
  <si>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</si>
  <si>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</si>
  <si>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</si>
  <si>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</si>
  <si>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</si>
  <si>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</si>
  <si>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</si>
  <si>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</si>
  <si>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</si>
  <si>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</si>
  <si>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</si>
  <si>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</si>
  <si>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WS B - 1 Col N, ADIT Item 5.16</t>
  </si>
  <si>
    <t>WS B - 1 Col B/C, ADIT Item 5.19</t>
  </si>
  <si>
    <t>12/31/2022 Ending Balance</t>
  </si>
  <si>
    <t>1/1/2022 Beginning  Balances</t>
  </si>
  <si>
    <t>For Year Ended December 31, 2023</t>
  </si>
  <si>
    <t>Research, Develop&amp;Demonstr Exp</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</si>
  <si>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</si>
  <si>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</si>
  <si>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</si>
  <si>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</si>
  <si>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</si>
  <si>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</si>
  <si>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</si>
  <si>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</si>
  <si>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</si>
  <si>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</si>
  <si>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</si>
  <si>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</si>
  <si>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</si>
  <si>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</si>
  <si>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</si>
  <si>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</si>
  <si>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</si>
  <si>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</si>
  <si>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</si>
  <si>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</si>
  <si>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</si>
  <si>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</si>
  <si>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</si>
  <si>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</si>
  <si>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</si>
  <si>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</si>
  <si>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</si>
  <si>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</si>
  <si>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</si>
  <si>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</si>
  <si>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</si>
  <si>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</si>
  <si>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</si>
  <si>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</si>
  <si>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</si>
  <si>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</si>
  <si>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</si>
  <si>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</si>
  <si>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</si>
  <si>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</si>
  <si>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</si>
  <si>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</si>
  <si>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</si>
  <si>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</si>
  <si>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</si>
  <si>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</si>
  <si>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</si>
  <si>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</si>
  <si>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</si>
  <si>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</si>
  <si>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</si>
  <si>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</si>
  <si>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</si>
  <si>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</si>
  <si>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</si>
  <si>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</si>
  <si>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</si>
  <si>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</si>
  <si>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</si>
  <si>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</si>
  <si>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</si>
  <si>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2023 Forecasted Revenue Requirement For Year 2023</t>
  </si>
  <si>
    <t>2023 Collections</t>
  </si>
  <si>
    <t>Transmission Accumulated Depreciation net of GSU, and Other Excludable Balances (Ln 28d - 42c - 42e)</t>
  </si>
  <si>
    <t>EFFECTIVE AS OF JANUARY 1, 2023</t>
  </si>
  <si>
    <t>Power Operated Equipment</t>
  </si>
  <si>
    <t>Note: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</si>
  <si>
    <r>
      <rPr>
        <b/>
        <sz val="12"/>
        <rFont val="Arial MT"/>
      </rPr>
      <t>Note:</t>
    </r>
    <r>
      <rPr>
        <sz val="12"/>
        <rFont val="Arial MT"/>
      </rPr>
      <t xml:space="preserve"> Per the Settlement in Docket No. ER10-355, Appendix A.1.2, AEP WEST VIRGINIA TRANSMISSION COMPANY shall use the depreciation rates shown above by FERC Account until such time as the FERC approves new depreciation rates pusuant to a Section 205 or 206 filing to change rates.
APCo Transco Depreciation Rates are based on the APCo VA Order in VA SCC Case No. PUR-2022-00002</t>
    </r>
  </si>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</sst>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8">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9"/>
      <color indexed="10"/>
      <name val="Arial"/>
      <family val="2"/>
    </font>
    <font>
      <i/>
      <sz val="9"/>
      <name val="Arial"/>
      <family val="2"/>
    </font>
    <font>
      <sz val="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0"/>
      <color rgb="FFFF0000"/>
      <name val="Arial"/>
      <family val="2"/>
    </font>
    <font>
      <sz val="11"/>
      <color theme="1"/>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41">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9" fillId="0" borderId="0" applyFont="0" applyFill="0" applyBorder="0" applyAlignment="0" applyProtection="0"/>
    <xf numFmtId="43" fontId="1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50" fillId="0" borderId="0" applyFont="0" applyFill="0" applyBorder="0" applyAlignment="0" applyProtection="0"/>
    <xf numFmtId="43" fontId="13" fillId="0" borderId="0" applyFont="0" applyFill="0" applyBorder="0" applyAlignment="0" applyProtection="0"/>
    <xf numFmtId="43" fontId="134" fillId="0" borderId="0" applyFont="0" applyFill="0" applyBorder="0" applyAlignment="0" applyProtection="0"/>
    <xf numFmtId="43" fontId="150" fillId="0" borderId="0" applyFont="0" applyFill="0" applyBorder="0" applyAlignment="0" applyProtection="0"/>
    <xf numFmtId="43" fontId="138" fillId="0" borderId="0" applyFont="0" applyFill="0" applyBorder="0" applyAlignment="0" applyProtection="0"/>
    <xf numFmtId="43" fontId="150" fillId="0" borderId="0" applyFont="0" applyFill="0" applyBorder="0" applyAlignment="0" applyProtection="0"/>
    <xf numFmtId="43" fontId="3" fillId="0" borderId="0" applyFont="0" applyFill="0" applyBorder="0" applyAlignment="0" applyProtection="0"/>
    <xf numFmtId="43" fontId="130"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29" fillId="0" borderId="0" applyFont="0" applyFill="0" applyBorder="0" applyAlignment="0" applyProtection="0"/>
    <xf numFmtId="44" fontId="13" fillId="0" borderId="0" applyFont="0" applyFill="0" applyBorder="0" applyAlignment="0" applyProtection="0"/>
    <xf numFmtId="44" fontId="150" fillId="0" borderId="0" applyFont="0" applyFill="0" applyBorder="0" applyAlignment="0" applyProtection="0"/>
    <xf numFmtId="44" fontId="13" fillId="0" borderId="0" applyFont="0" applyFill="0" applyBorder="0" applyAlignment="0" applyProtection="0"/>
    <xf numFmtId="44" fontId="150"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29" fillId="0" borderId="0"/>
    <xf numFmtId="3" fontId="13" fillId="0" borderId="0"/>
    <xf numFmtId="3" fontId="13" fillId="0" borderId="0"/>
    <xf numFmtId="3" fontId="13" fillId="0" borderId="0"/>
    <xf numFmtId="0" fontId="129" fillId="0" borderId="0"/>
    <xf numFmtId="0" fontId="13" fillId="0" borderId="0"/>
    <xf numFmtId="3" fontId="13" fillId="0" borderId="0"/>
    <xf numFmtId="3" fontId="13" fillId="0" borderId="0"/>
    <xf numFmtId="3" fontId="13" fillId="0" borderId="0"/>
    <xf numFmtId="3" fontId="13" fillId="0" borderId="0"/>
    <xf numFmtId="0" fontId="150" fillId="0" borderId="0"/>
    <xf numFmtId="3" fontId="13" fillId="0" borderId="0"/>
    <xf numFmtId="3" fontId="13" fillId="0" borderId="0"/>
    <xf numFmtId="3" fontId="13" fillId="0" borderId="0"/>
    <xf numFmtId="3"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0" fontId="151" fillId="0" borderId="0"/>
    <xf numFmtId="0" fontId="13" fillId="0" borderId="0"/>
    <xf numFmtId="0" fontId="13" fillId="0" borderId="0"/>
    <xf numFmtId="0" fontId="151" fillId="0" borderId="0"/>
    <xf numFmtId="0" fontId="13" fillId="0" borderId="0"/>
    <xf numFmtId="0"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3" fontId="13" fillId="0" borderId="0"/>
    <xf numFmtId="0" fontId="13" fillId="0" borderId="0"/>
    <xf numFmtId="0" fontId="13" fillId="0" borderId="0"/>
    <xf numFmtId="3" fontId="13" fillId="0" borderId="0"/>
    <xf numFmtId="0" fontId="13" fillId="0" borderId="0"/>
    <xf numFmtId="0" fontId="150"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9" fillId="0" borderId="0"/>
    <xf numFmtId="0" fontId="13" fillId="0" borderId="0"/>
    <xf numFmtId="0" fontId="13" fillId="0" borderId="0"/>
    <xf numFmtId="0" fontId="13" fillId="0" borderId="0"/>
    <xf numFmtId="0" fontId="13" fillId="0" borderId="0"/>
    <xf numFmtId="0" fontId="13" fillId="0" borderId="0"/>
    <xf numFmtId="0" fontId="13" fillId="0" borderId="0"/>
    <xf numFmtId="3" fontId="13" fillId="0" borderId="0"/>
    <xf numFmtId="3" fontId="13" fillId="0" borderId="0"/>
    <xf numFmtId="0" fontId="129" fillId="0" borderId="0"/>
    <xf numFmtId="0" fontId="13" fillId="0" borderId="0"/>
    <xf numFmtId="0" fontId="12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0" fillId="0" borderId="0"/>
    <xf numFmtId="0" fontId="129" fillId="0" borderId="0"/>
    <xf numFmtId="0" fontId="13" fillId="0" borderId="0"/>
    <xf numFmtId="0" fontId="150" fillId="0" borderId="0"/>
    <xf numFmtId="0" fontId="129" fillId="0" borderId="0"/>
    <xf numFmtId="0" fontId="13" fillId="0" borderId="0"/>
    <xf numFmtId="0" fontId="150" fillId="0" borderId="0"/>
    <xf numFmtId="0" fontId="129" fillId="0" borderId="0"/>
    <xf numFmtId="0" fontId="13" fillId="0" borderId="0"/>
    <xf numFmtId="0" fontId="150" fillId="0" borderId="0"/>
    <xf numFmtId="0" fontId="4" fillId="0" borderId="0" applyProtection="0"/>
    <xf numFmtId="0" fontId="3" fillId="0" borderId="0"/>
    <xf numFmtId="0" fontId="13" fillId="0" borderId="0"/>
    <xf numFmtId="0" fontId="13" fillId="0" borderId="0"/>
    <xf numFmtId="0" fontId="13" fillId="0" borderId="0"/>
    <xf numFmtId="172" fontId="4" fillId="0" borderId="0" applyProtection="0"/>
    <xf numFmtId="0" fontId="3" fillId="0" borderId="0"/>
    <xf numFmtId="172" fontId="4" fillId="0" borderId="0" applyProtection="0"/>
    <xf numFmtId="172" fontId="4" fillId="0" borderId="0" applyProtection="0"/>
    <xf numFmtId="0" fontId="71" fillId="0" borderId="0"/>
    <xf numFmtId="0" fontId="13" fillId="0" borderId="0"/>
    <xf numFmtId="0" fontId="4" fillId="0" borderId="0"/>
    <xf numFmtId="0" fontId="13" fillId="0" borderId="0"/>
    <xf numFmtId="0" fontId="3" fillId="0" borderId="0"/>
    <xf numFmtId="0" fontId="130" fillId="0" borderId="0"/>
    <xf numFmtId="0" fontId="111"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9" fillId="0" borderId="0" applyFont="0" applyFill="0" applyBorder="0" applyAlignment="0" applyProtection="0"/>
    <xf numFmtId="9" fontId="13" fillId="0" borderId="0" applyFont="0" applyFill="0" applyBorder="0" applyAlignment="0" applyProtection="0"/>
    <xf numFmtId="9" fontId="150" fillId="0" borderId="0" applyFont="0" applyFill="0" applyBorder="0" applyAlignment="0" applyProtection="0"/>
    <xf numFmtId="9" fontId="13" fillId="0" borderId="0" applyFont="0" applyFill="0" applyBorder="0" applyAlignment="0" applyProtection="0"/>
    <xf numFmtId="9" fontId="150"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0" fontId="1" fillId="0" borderId="0"/>
    <xf numFmtId="0" fontId="156" fillId="0" borderId="0"/>
    <xf numFmtId="0" fontId="1" fillId="0" borderId="0"/>
  </cellStyleXfs>
  <cellXfs count="1569">
    <xf numFmtId="0" fontId="0" fillId="0" borderId="0" xfId="0"/>
    <xf numFmtId="0" fontId="0" fillId="0" borderId="0" xfId="0" applyAlignment="1">
      <alignment horizontal="center"/>
    </xf>
    <xf numFmtId="0" fontId="0" fillId="0" borderId="0" xfId="0" applyAlignment="1"/>
    <xf numFmtId="3" fontId="6" fillId="0" borderId="0" xfId="0" applyNumberFormat="1" applyFont="1" applyAlignment="1">
      <alignment horizontal="center"/>
    </xf>
    <xf numFmtId="0" fontId="13" fillId="0" borderId="0" xfId="0" applyFont="1"/>
    <xf numFmtId="0" fontId="10" fillId="0" borderId="0" xfId="248" applyFont="1" applyFill="1" applyAlignment="1">
      <alignment horizontal="center"/>
    </xf>
    <xf numFmtId="0" fontId="16" fillId="0" borderId="0" xfId="248" applyFont="1" applyFill="1"/>
    <xf numFmtId="0" fontId="0" fillId="0" borderId="0" xfId="0" applyBorder="1"/>
    <xf numFmtId="0" fontId="5" fillId="0" borderId="0" xfId="0" applyFont="1"/>
    <xf numFmtId="0" fontId="0" fillId="0" borderId="0" xfId="0" applyFill="1"/>
    <xf numFmtId="0" fontId="13" fillId="0" borderId="0" xfId="248" applyFont="1" applyFill="1"/>
    <xf numFmtId="0" fontId="16" fillId="0" borderId="0" xfId="248" applyFont="1" applyFill="1" applyAlignment="1">
      <alignment horizontal="left"/>
    </xf>
    <xf numFmtId="3" fontId="13" fillId="0" borderId="0" xfId="0" applyNumberFormat="1" applyFont="1" applyFill="1"/>
    <xf numFmtId="0" fontId="6" fillId="0" borderId="0" xfId="248" applyFont="1" applyFill="1" applyAlignment="1">
      <alignment horizontal="right"/>
    </xf>
    <xf numFmtId="40" fontId="13" fillId="0" borderId="0" xfId="0" applyNumberFormat="1" applyFont="1" applyFill="1"/>
    <xf numFmtId="0" fontId="13" fillId="0" borderId="0" xfId="248" applyFont="1"/>
    <xf numFmtId="0" fontId="6" fillId="0" borderId="0" xfId="248" applyFont="1" applyFill="1"/>
    <xf numFmtId="0" fontId="10" fillId="0" borderId="0" xfId="248" applyFont="1" applyFill="1" applyBorder="1" applyAlignment="1">
      <alignment horizontal="left"/>
    </xf>
    <xf numFmtId="0" fontId="13" fillId="0" borderId="0" xfId="248" applyFont="1" applyAlignment="1">
      <alignment horizontal="left"/>
    </xf>
    <xf numFmtId="0" fontId="7" fillId="0" borderId="0" xfId="248" applyFont="1" applyFill="1" applyAlignment="1">
      <alignment horizontal="center"/>
    </xf>
    <xf numFmtId="0" fontId="27" fillId="0" borderId="0" xfId="0" applyFont="1" applyFill="1"/>
    <xf numFmtId="0" fontId="6" fillId="0" borderId="0" xfId="0" applyFont="1" applyAlignment="1">
      <alignment horizontal="center"/>
    </xf>
    <xf numFmtId="3" fontId="20" fillId="0" borderId="0" xfId="0" applyNumberFormat="1" applyFont="1" applyFill="1" applyAlignment="1"/>
    <xf numFmtId="41" fontId="28" fillId="0" borderId="0" xfId="248" applyNumberFormat="1" applyFont="1" applyFill="1" applyBorder="1"/>
    <xf numFmtId="0" fontId="29" fillId="0" borderId="0" xfId="248" applyFont="1" applyFill="1" applyAlignment="1">
      <alignment horizontal="left"/>
    </xf>
    <xf numFmtId="0" fontId="27" fillId="0" borderId="0" xfId="248" applyFont="1" applyFill="1"/>
    <xf numFmtId="41" fontId="27" fillId="0" borderId="0" xfId="248" applyNumberFormat="1" applyFont="1" applyFill="1"/>
    <xf numFmtId="41" fontId="27" fillId="0" borderId="0" xfId="248" applyNumberFormat="1" applyFont="1" applyFill="1" applyBorder="1" applyAlignment="1">
      <alignment vertical="top"/>
    </xf>
    <xf numFmtId="181" fontId="27" fillId="0" borderId="0" xfId="248" applyNumberFormat="1" applyFont="1" applyFill="1"/>
    <xf numFmtId="41" fontId="27" fillId="0" borderId="0" xfId="248" applyNumberFormat="1" applyFont="1" applyFill="1" applyBorder="1"/>
    <xf numFmtId="0" fontId="27" fillId="0" borderId="0" xfId="248" applyFont="1" applyFill="1" applyAlignment="1">
      <alignment horizontal="left"/>
    </xf>
    <xf numFmtId="0" fontId="30" fillId="0" borderId="0" xfId="248" applyFont="1" applyFill="1" applyBorder="1"/>
    <xf numFmtId="0" fontId="27" fillId="0" borderId="0" xfId="248" applyFont="1" applyFill="1" applyAlignment="1">
      <alignment horizontal="center"/>
    </xf>
    <xf numFmtId="0" fontId="11" fillId="0" borderId="0" xfId="248" applyFont="1" applyFill="1" applyAlignment="1">
      <alignment horizontal="center"/>
    </xf>
    <xf numFmtId="173" fontId="27" fillId="0" borderId="0" xfId="248" applyNumberFormat="1" applyFont="1" applyFill="1"/>
    <xf numFmtId="173" fontId="27" fillId="0" borderId="0" xfId="248" applyNumberFormat="1" applyFont="1" applyFill="1" applyBorder="1" applyAlignment="1">
      <alignment vertical="top"/>
    </xf>
    <xf numFmtId="41" fontId="27" fillId="0" borderId="13" xfId="248" applyNumberFormat="1" applyFont="1" applyFill="1" applyBorder="1"/>
    <xf numFmtId="173" fontId="7" fillId="0" borderId="0" xfId="86" applyNumberFormat="1" applyFont="1" applyFill="1" applyAlignment="1">
      <alignment horizontal="center"/>
    </xf>
    <xf numFmtId="0" fontId="6" fillId="0" borderId="0" xfId="248" applyFont="1" applyFill="1" applyAlignment="1">
      <alignment horizontal="center"/>
    </xf>
    <xf numFmtId="0" fontId="31" fillId="0" borderId="0" xfId="248" applyFont="1" applyFill="1" applyBorder="1"/>
    <xf numFmtId="0" fontId="11" fillId="0" borderId="0" xfId="248" applyFont="1" applyAlignment="1">
      <alignment horizontal="center"/>
    </xf>
    <xf numFmtId="41" fontId="6" fillId="0" borderId="13" xfId="248" applyNumberFormat="1" applyFont="1" applyFill="1" applyBorder="1"/>
    <xf numFmtId="38" fontId="13" fillId="0" borderId="0" xfId="0" applyNumberFormat="1" applyFont="1" applyFill="1" applyBorder="1" applyAlignment="1"/>
    <xf numFmtId="40" fontId="27" fillId="0" borderId="0" xfId="248" applyNumberFormat="1" applyFont="1" applyFill="1"/>
    <xf numFmtId="3" fontId="13" fillId="0" borderId="0" xfId="0" applyNumberFormat="1" applyFont="1"/>
    <xf numFmtId="40" fontId="13" fillId="0" borderId="0" xfId="0" applyNumberFormat="1" applyFont="1"/>
    <xf numFmtId="43" fontId="6" fillId="0" borderId="0" xfId="248" applyNumberFormat="1" applyFont="1" applyFill="1"/>
    <xf numFmtId="3" fontId="6" fillId="0" borderId="0" xfId="0" applyNumberFormat="1" applyFont="1" applyFill="1" applyAlignment="1"/>
    <xf numFmtId="41" fontId="28" fillId="25" borderId="0" xfId="248" applyNumberFormat="1" applyFont="1" applyFill="1" applyBorder="1"/>
    <xf numFmtId="0" fontId="33" fillId="0" borderId="0" xfId="0" applyFont="1" applyFill="1"/>
    <xf numFmtId="0" fontId="20" fillId="0" borderId="0" xfId="248" applyFont="1" applyFill="1"/>
    <xf numFmtId="0" fontId="13" fillId="0" borderId="0" xfId="248" applyFont="1" applyAlignment="1">
      <alignment horizontal="center"/>
    </xf>
    <xf numFmtId="0" fontId="6" fillId="0" borderId="0" xfId="207" applyFont="1" applyBorder="1" applyAlignment="1">
      <alignment horizontal="center"/>
    </xf>
    <xf numFmtId="49" fontId="6" fillId="0" borderId="0" xfId="248" applyNumberFormat="1" applyFont="1" applyAlignment="1">
      <alignment horizontal="center"/>
    </xf>
    <xf numFmtId="3" fontId="6" fillId="0" borderId="0" xfId="0" applyNumberFormat="1" applyFont="1" applyFill="1" applyAlignment="1">
      <alignment horizontal="center"/>
    </xf>
    <xf numFmtId="3" fontId="11" fillId="0" borderId="0" xfId="0" applyNumberFormat="1" applyFont="1" applyFill="1" applyAlignment="1">
      <alignment horizontal="center"/>
    </xf>
    <xf numFmtId="0" fontId="13" fillId="0" borderId="0" xfId="0" applyFont="1" applyAlignment="1">
      <alignment horizontal="center"/>
    </xf>
    <xf numFmtId="0" fontId="72" fillId="0" borderId="0" xfId="256" applyFont="1"/>
    <xf numFmtId="185" fontId="19" fillId="0" borderId="0" xfId="256" applyNumberFormat="1" applyFont="1" applyAlignment="1">
      <alignment horizontal="center"/>
    </xf>
    <xf numFmtId="0" fontId="13" fillId="0" borderId="0" xfId="256" applyFont="1"/>
    <xf numFmtId="0" fontId="19" fillId="0" borderId="0" xfId="256" applyFont="1"/>
    <xf numFmtId="0" fontId="19" fillId="0" borderId="0" xfId="256" applyNumberFormat="1" applyFont="1" applyAlignment="1">
      <alignment horizontal="center"/>
    </xf>
    <xf numFmtId="0" fontId="19" fillId="0" borderId="0" xfId="256" applyNumberFormat="1" applyFont="1"/>
    <xf numFmtId="0" fontId="19" fillId="0" borderId="0" xfId="256" applyNumberFormat="1" applyFont="1" applyBorder="1" applyAlignment="1">
      <alignment horizontal="center"/>
    </xf>
    <xf numFmtId="0" fontId="74" fillId="0" borderId="0" xfId="256" applyFont="1"/>
    <xf numFmtId="0" fontId="75" fillId="0" borderId="0" xfId="256" applyFont="1"/>
    <xf numFmtId="185" fontId="13" fillId="0" borderId="0" xfId="256" applyNumberFormat="1" applyFont="1"/>
    <xf numFmtId="0" fontId="76" fillId="0" borderId="0" xfId="253" applyFont="1" applyFill="1" applyAlignment="1">
      <alignment horizontal="center"/>
    </xf>
    <xf numFmtId="0" fontId="76" fillId="0" borderId="0" xfId="253" applyFont="1" applyFill="1" applyAlignment="1">
      <alignment horizontal="left" indent="2"/>
    </xf>
    <xf numFmtId="39" fontId="76" fillId="0" borderId="0" xfId="253" applyNumberFormat="1" applyFont="1" applyFill="1"/>
    <xf numFmtId="0" fontId="72" fillId="0" borderId="0" xfId="256" applyFont="1" applyFill="1"/>
    <xf numFmtId="0" fontId="13" fillId="0" borderId="0" xfId="256" applyNumberFormat="1" applyFont="1" applyAlignment="1">
      <alignment horizontal="center"/>
    </xf>
    <xf numFmtId="0" fontId="13" fillId="0" borderId="0" xfId="256" applyNumberFormat="1" applyFont="1"/>
    <xf numFmtId="173" fontId="72" fillId="0" borderId="14" xfId="86" applyNumberFormat="1" applyFont="1" applyBorder="1"/>
    <xf numFmtId="0" fontId="72" fillId="0" borderId="0" xfId="0" applyFont="1"/>
    <xf numFmtId="173" fontId="0" fillId="0" borderId="0" xfId="0" applyNumberFormat="1"/>
    <xf numFmtId="0" fontId="81" fillId="0" borderId="0" xfId="248" applyFont="1" applyFill="1" applyBorder="1" applyAlignment="1">
      <alignment horizontal="left"/>
    </xf>
    <xf numFmtId="0" fontId="5" fillId="0" borderId="0" xfId="0" applyFont="1" applyAlignment="1">
      <alignment horizontal="center"/>
    </xf>
    <xf numFmtId="0" fontId="5" fillId="0" borderId="0" xfId="207" applyFont="1" applyBorder="1" applyAlignment="1">
      <alignment horizontal="center"/>
    </xf>
    <xf numFmtId="0" fontId="13" fillId="0" borderId="0" xfId="256" applyNumberFormat="1" applyFont="1" applyFill="1"/>
    <xf numFmtId="173" fontId="72" fillId="0" borderId="0" xfId="256" applyNumberFormat="1" applyFont="1" applyFill="1"/>
    <xf numFmtId="3" fontId="5" fillId="0" borderId="0" xfId="0" applyNumberFormat="1" applyFont="1" applyAlignment="1">
      <alignment horizontal="center"/>
    </xf>
    <xf numFmtId="0" fontId="13" fillId="0" borderId="0" xfId="0" applyFont="1" applyAlignment="1">
      <alignment horizontal="centerContinuous"/>
    </xf>
    <xf numFmtId="0" fontId="18" fillId="0" borderId="0" xfId="0" applyFont="1" applyAlignment="1">
      <alignment horizontal="center"/>
    </xf>
    <xf numFmtId="0" fontId="10"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6" fillId="0" borderId="0" xfId="248" applyFont="1"/>
    <xf numFmtId="0" fontId="3" fillId="0" borderId="0" xfId="248" applyAlignment="1">
      <alignment horizontal="left"/>
    </xf>
    <xf numFmtId="0" fontId="3" fillId="0" borderId="0" xfId="248"/>
    <xf numFmtId="0" fontId="16" fillId="0" borderId="0" xfId="248" applyFont="1" applyAlignment="1">
      <alignment horizontal="left"/>
    </xf>
    <xf numFmtId="0" fontId="15" fillId="0" borderId="0" xfId="248" applyFont="1" applyFill="1"/>
    <xf numFmtId="0" fontId="84" fillId="0" borderId="0" xfId="248" applyFont="1" applyFill="1"/>
    <xf numFmtId="9" fontId="11" fillId="0" borderId="0" xfId="248" quotePrefix="1" applyNumberFormat="1" applyFont="1" applyFill="1" applyAlignment="1">
      <alignment horizontal="center"/>
    </xf>
    <xf numFmtId="0" fontId="5" fillId="0" borderId="0" xfId="256" applyNumberFormat="1" applyFont="1" applyAlignment="1">
      <alignment horizontal="center"/>
    </xf>
    <xf numFmtId="0" fontId="5" fillId="0" borderId="0" xfId="256" applyNumberFormat="1" applyFont="1"/>
    <xf numFmtId="185" fontId="5" fillId="0" borderId="0" xfId="256" applyNumberFormat="1" applyFont="1" applyAlignment="1">
      <alignment horizontal="center"/>
    </xf>
    <xf numFmtId="0" fontId="5" fillId="0" borderId="11" xfId="256" applyNumberFormat="1" applyFont="1" applyBorder="1" applyAlignment="1">
      <alignment horizontal="center"/>
    </xf>
    <xf numFmtId="185" fontId="5" fillId="0" borderId="11" xfId="256" applyNumberFormat="1" applyFont="1" applyBorder="1" applyAlignment="1">
      <alignment horizontal="center"/>
    </xf>
    <xf numFmtId="174" fontId="0" fillId="0" borderId="0" xfId="115" applyNumberFormat="1" applyFont="1" applyAlignment="1">
      <alignment horizontal="center"/>
    </xf>
    <xf numFmtId="0" fontId="10" fillId="0" borderId="0" xfId="0" applyFont="1" applyAlignment="1">
      <alignment horizontal="left"/>
    </xf>
    <xf numFmtId="6" fontId="10" fillId="0" borderId="0" xfId="0" applyNumberFormat="1" applyFont="1" applyAlignment="1">
      <alignment horizontal="right"/>
    </xf>
    <xf numFmtId="164" fontId="0" fillId="0" borderId="0" xfId="267" applyNumberFormat="1" applyFont="1"/>
    <xf numFmtId="173" fontId="90" fillId="0" borderId="0" xfId="256" applyNumberFormat="1" applyFont="1" applyFill="1" applyBorder="1"/>
    <xf numFmtId="0" fontId="24" fillId="0" borderId="0" xfId="248" applyFont="1" applyFill="1" applyAlignment="1">
      <alignment horizontal="center"/>
    </xf>
    <xf numFmtId="0" fontId="93" fillId="0" borderId="0" xfId="248" applyFont="1" applyFill="1" applyBorder="1"/>
    <xf numFmtId="0" fontId="33" fillId="0" borderId="0" xfId="0" applyFont="1"/>
    <xf numFmtId="173" fontId="0" fillId="0" borderId="14" xfId="0" applyNumberFormat="1" applyBorder="1"/>
    <xf numFmtId="9" fontId="0" fillId="0" borderId="0" xfId="267" applyFont="1"/>
    <xf numFmtId="0" fontId="95" fillId="0" borderId="0" xfId="0" applyFont="1" applyAlignment="1">
      <alignment horizontal="center" wrapText="1"/>
    </xf>
    <xf numFmtId="0" fontId="19" fillId="0" borderId="0" xfId="253" applyFont="1" applyFill="1" applyAlignment="1">
      <alignment horizontal="center"/>
    </xf>
    <xf numFmtId="190" fontId="99" fillId="0" borderId="0" xfId="207" applyNumberFormat="1" applyFont="1" applyFill="1" applyBorder="1" applyAlignment="1">
      <alignment horizontal="center"/>
    </xf>
    <xf numFmtId="38" fontId="0" fillId="0" borderId="0" xfId="0" applyNumberFormat="1" applyBorder="1"/>
    <xf numFmtId="0" fontId="3" fillId="0" borderId="0" xfId="0" applyFont="1"/>
    <xf numFmtId="0" fontId="7" fillId="0" borderId="0" xfId="248" applyFont="1" applyFill="1" applyBorder="1" applyAlignment="1">
      <alignment horizontal="center"/>
    </xf>
    <xf numFmtId="0" fontId="6" fillId="0" borderId="0" xfId="0" applyFont="1" applyBorder="1" applyAlignment="1">
      <alignment horizontal="center"/>
    </xf>
    <xf numFmtId="0" fontId="5" fillId="0" borderId="0" xfId="256" applyNumberFormat="1" applyFont="1" applyBorder="1" applyAlignment="1">
      <alignment horizontal="center"/>
    </xf>
    <xf numFmtId="0" fontId="13" fillId="0" borderId="0" xfId="256" applyFont="1" applyBorder="1"/>
    <xf numFmtId="0" fontId="5" fillId="0" borderId="11" xfId="256" applyNumberFormat="1" applyFont="1" applyBorder="1"/>
    <xf numFmtId="185" fontId="5" fillId="0" borderId="0" xfId="256" applyNumberFormat="1" applyFont="1" applyBorder="1" applyAlignment="1">
      <alignment horizontal="center"/>
    </xf>
    <xf numFmtId="0" fontId="13" fillId="0" borderId="0" xfId="256" applyFont="1" applyFill="1"/>
    <xf numFmtId="173" fontId="79" fillId="0" borderId="0" xfId="256" applyNumberFormat="1" applyFont="1" applyFill="1" applyBorder="1"/>
    <xf numFmtId="0" fontId="72" fillId="0" borderId="0" xfId="256" applyFont="1" applyAlignment="1">
      <alignment horizontal="center"/>
    </xf>
    <xf numFmtId="0" fontId="19" fillId="0" borderId="0" xfId="256" applyFont="1" applyFill="1"/>
    <xf numFmtId="3" fontId="79" fillId="0" borderId="0" xfId="256" applyNumberFormat="1" applyFont="1" applyFill="1" applyBorder="1"/>
    <xf numFmtId="173" fontId="79" fillId="0" borderId="0" xfId="256" applyNumberFormat="1" applyFont="1" applyFill="1"/>
    <xf numFmtId="173" fontId="72" fillId="0" borderId="0" xfId="256" applyNumberFormat="1" applyFont="1" applyFill="1" applyBorder="1"/>
    <xf numFmtId="0" fontId="72" fillId="0" borderId="0" xfId="256" applyFont="1" applyFill="1" applyBorder="1"/>
    <xf numFmtId="38" fontId="23" fillId="0" borderId="0" xfId="0" applyNumberFormat="1" applyFont="1" applyBorder="1"/>
    <xf numFmtId="176" fontId="4" fillId="0" borderId="15" xfId="258" applyNumberFormat="1" applyBorder="1" applyProtection="1"/>
    <xf numFmtId="176" fontId="4" fillId="0" borderId="0" xfId="258" applyNumberFormat="1" applyBorder="1" applyProtection="1"/>
    <xf numFmtId="49" fontId="6" fillId="0" borderId="0" xfId="86" applyNumberFormat="1" applyFont="1" applyAlignment="1">
      <alignment horizontal="center"/>
    </xf>
    <xf numFmtId="0" fontId="100" fillId="0" borderId="0" xfId="256" applyFont="1" applyFill="1" applyBorder="1"/>
    <xf numFmtId="0" fontId="120" fillId="0" borderId="0" xfId="256" applyFont="1"/>
    <xf numFmtId="0" fontId="33" fillId="0" borderId="0" xfId="248" applyFont="1" applyFill="1" applyBorder="1"/>
    <xf numFmtId="0" fontId="108" fillId="0" borderId="0" xfId="248" applyFont="1" applyFill="1" applyAlignment="1">
      <alignment horizontal="center"/>
    </xf>
    <xf numFmtId="0" fontId="13" fillId="0" borderId="0" xfId="248" applyFont="1" applyFill="1" applyBorder="1"/>
    <xf numFmtId="0" fontId="95" fillId="0" borderId="0" xfId="0" applyFont="1" applyAlignment="1">
      <alignment horizontal="center"/>
    </xf>
    <xf numFmtId="10" fontId="4" fillId="0" borderId="0" xfId="258" applyNumberFormat="1" applyFill="1" applyProtection="1"/>
    <xf numFmtId="41" fontId="20" fillId="30" borderId="6" xfId="255" applyNumberFormat="1" applyFont="1" applyFill="1" applyBorder="1" applyAlignment="1" applyProtection="1">
      <protection locked="0"/>
    </xf>
    <xf numFmtId="3" fontId="20" fillId="30" borderId="0" xfId="255" applyNumberFormat="1" applyFont="1" applyFill="1" applyAlignment="1" applyProtection="1">
      <protection locked="0"/>
    </xf>
    <xf numFmtId="41" fontId="6" fillId="30" borderId="0" xfId="255" applyNumberFormat="1" applyFont="1" applyFill="1" applyAlignment="1" applyProtection="1">
      <protection locked="0"/>
    </xf>
    <xf numFmtId="173" fontId="20" fillId="30" borderId="0" xfId="86" applyNumberFormat="1" applyFont="1" applyFill="1" applyAlignment="1" applyProtection="1">
      <alignment horizontal="right"/>
      <protection locked="0"/>
    </xf>
    <xf numFmtId="41" fontId="20" fillId="30" borderId="0" xfId="255" applyNumberFormat="1" applyFont="1" applyFill="1" applyAlignment="1" applyProtection="1">
      <protection locked="0"/>
    </xf>
    <xf numFmtId="173" fontId="9" fillId="30" borderId="0" xfId="86" applyNumberFormat="1" applyFont="1" applyFill="1" applyProtection="1">
      <protection locked="0"/>
    </xf>
    <xf numFmtId="173" fontId="9" fillId="30" borderId="11" xfId="86" applyNumberFormat="1" applyFont="1" applyFill="1" applyBorder="1" applyAlignment="1" applyProtection="1">
      <protection locked="0"/>
    </xf>
    <xf numFmtId="10" fontId="20" fillId="30" borderId="0" xfId="255" applyNumberFormat="1" applyFont="1" applyFill="1" applyProtection="1">
      <protection locked="0"/>
    </xf>
    <xf numFmtId="41" fontId="20" fillId="30" borderId="0" xfId="255" applyNumberFormat="1" applyFont="1" applyFill="1" applyAlignment="1" applyProtection="1">
      <alignment vertical="center"/>
      <protection locked="0"/>
    </xf>
    <xf numFmtId="0" fontId="7" fillId="0" borderId="0" xfId="0" applyFont="1"/>
    <xf numFmtId="10" fontId="20" fillId="31" borderId="0" xfId="267" applyNumberFormat="1" applyFont="1" applyFill="1" applyAlignment="1" applyProtection="1">
      <protection locked="0"/>
    </xf>
    <xf numFmtId="173" fontId="79" fillId="32" borderId="0" xfId="256" applyNumberFormat="1" applyFont="1" applyFill="1"/>
    <xf numFmtId="193" fontId="4" fillId="0" borderId="0" xfId="258" applyNumberFormat="1" applyFill="1" applyProtection="1"/>
    <xf numFmtId="172" fontId="4" fillId="0" borderId="0" xfId="255" applyFont="1" applyAlignment="1" applyProtection="1"/>
    <xf numFmtId="172" fontId="6" fillId="0" borderId="0" xfId="255" applyFont="1" applyAlignment="1" applyProtection="1"/>
    <xf numFmtId="0" fontId="0" fillId="0" borderId="0" xfId="0" applyBorder="1" applyProtection="1"/>
    <xf numFmtId="0" fontId="7" fillId="0" borderId="0" xfId="255" applyNumberFormat="1" applyFont="1" applyBorder="1" applyAlignment="1" applyProtection="1">
      <alignment horizontal="left"/>
    </xf>
    <xf numFmtId="14" fontId="7" fillId="0" borderId="0" xfId="255" applyNumberFormat="1" applyFont="1" applyBorder="1" applyAlignment="1" applyProtection="1"/>
    <xf numFmtId="172" fontId="7" fillId="0" borderId="0" xfId="255" applyFont="1" applyFill="1" applyAlignment="1" applyProtection="1"/>
    <xf numFmtId="172" fontId="6" fillId="0" borderId="0" xfId="255" applyFont="1" applyFill="1" applyAlignment="1" applyProtection="1"/>
    <xf numFmtId="0" fontId="20" fillId="32" borderId="0" xfId="86" applyNumberFormat="1" applyFont="1" applyFill="1" applyAlignment="1" applyProtection="1"/>
    <xf numFmtId="0" fontId="6" fillId="0" borderId="0" xfId="255"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55" applyNumberFormat="1" applyFont="1" applyProtection="1"/>
    <xf numFmtId="0" fontId="6" fillId="0" borderId="0" xfId="255" applyNumberFormat="1" applyFont="1" applyAlignment="1" applyProtection="1">
      <alignment horizontal="right"/>
    </xf>
    <xf numFmtId="0" fontId="20" fillId="0" borderId="0" xfId="86" applyNumberFormat="1" applyFont="1" applyFill="1" applyAlignment="1" applyProtection="1"/>
    <xf numFmtId="3" fontId="6" fillId="0" borderId="0" xfId="255" applyNumberFormat="1" applyFont="1" applyAlignment="1" applyProtection="1"/>
    <xf numFmtId="3" fontId="6" fillId="0" borderId="0" xfId="0" applyNumberFormat="1" applyFont="1" applyAlignment="1" applyProtection="1">
      <alignment horizontal="center"/>
    </xf>
    <xf numFmtId="0" fontId="4" fillId="0" borderId="0" xfId="255" applyNumberFormat="1" applyFont="1" applyAlignment="1" applyProtection="1">
      <alignment horizontal="center"/>
    </xf>
    <xf numFmtId="0" fontId="6" fillId="0" borderId="0" xfId="255" applyNumberFormat="1" applyFont="1" applyAlignment="1" applyProtection="1">
      <alignment horizontal="center"/>
    </xf>
    <xf numFmtId="49" fontId="6" fillId="0" borderId="0" xfId="255"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55" applyNumberFormat="1" applyFont="1" applyProtection="1"/>
    <xf numFmtId="39" fontId="6" fillId="0" borderId="0" xfId="86" applyNumberFormat="1" applyFont="1" applyAlignment="1" applyProtection="1">
      <alignment horizontal="center"/>
    </xf>
    <xf numFmtId="0" fontId="4" fillId="0" borderId="6" xfId="255" applyNumberFormat="1" applyFont="1" applyBorder="1" applyAlignment="1" applyProtection="1">
      <alignment horizontal="center"/>
    </xf>
    <xf numFmtId="0" fontId="6" fillId="0" borderId="0" xfId="255" applyNumberFormat="1" applyFont="1" applyBorder="1" applyAlignment="1" applyProtection="1">
      <alignment horizontal="center"/>
    </xf>
    <xf numFmtId="0" fontId="6" fillId="0" borderId="6" xfId="255" applyNumberFormat="1" applyFont="1" applyBorder="1" applyAlignment="1" applyProtection="1">
      <alignment horizontal="center"/>
    </xf>
    <xf numFmtId="0" fontId="6" fillId="0" borderId="0" xfId="0" applyNumberFormat="1" applyFont="1" applyProtection="1"/>
    <xf numFmtId="0" fontId="6" fillId="0" borderId="0" xfId="255" applyNumberFormat="1" applyFont="1" applyFill="1" applyProtection="1"/>
    <xf numFmtId="3" fontId="6" fillId="0" borderId="0" xfId="255" applyNumberFormat="1" applyFont="1" applyProtection="1"/>
    <xf numFmtId="0" fontId="6" fillId="0" borderId="0" xfId="255" applyNumberFormat="1" applyFont="1" applyAlignment="1" applyProtection="1">
      <alignment horizontal="left"/>
    </xf>
    <xf numFmtId="170" fontId="6" fillId="0" borderId="0" xfId="255" applyNumberFormat="1" applyFont="1" applyProtection="1"/>
    <xf numFmtId="3" fontId="6" fillId="0" borderId="0" xfId="255" applyNumberFormat="1" applyFont="1" applyFill="1" applyAlignment="1" applyProtection="1">
      <alignment horizontal="left"/>
    </xf>
    <xf numFmtId="3" fontId="6" fillId="0" borderId="0" xfId="255" applyNumberFormat="1" applyFont="1" applyFill="1" applyAlignment="1" applyProtection="1"/>
    <xf numFmtId="0" fontId="6" fillId="0" borderId="6" xfId="255" applyNumberFormat="1" applyFont="1" applyBorder="1" applyAlignment="1" applyProtection="1">
      <alignment horizontal="centerContinuous"/>
    </xf>
    <xf numFmtId="0" fontId="6" fillId="0" borderId="0" xfId="0" applyNumberFormat="1" applyFont="1" applyAlignment="1" applyProtection="1"/>
    <xf numFmtId="41" fontId="6" fillId="0" borderId="0" xfId="255" applyNumberFormat="1" applyFont="1" applyFill="1" applyBorder="1" applyAlignment="1" applyProtection="1"/>
    <xf numFmtId="3" fontId="6" fillId="0" borderId="0" xfId="255" applyNumberFormat="1" applyFont="1" applyFill="1" applyAlignment="1" applyProtection="1">
      <alignment horizontal="center"/>
    </xf>
    <xf numFmtId="165" fontId="6" fillId="0" borderId="0" xfId="255" applyNumberFormat="1" applyFont="1" applyFill="1" applyAlignment="1" applyProtection="1">
      <alignment horizontal="right"/>
    </xf>
    <xf numFmtId="42" fontId="6" fillId="0" borderId="0" xfId="255" applyNumberFormat="1" applyFont="1" applyBorder="1" applyAlignment="1" applyProtection="1"/>
    <xf numFmtId="0" fontId="4" fillId="0" borderId="0" xfId="255" applyNumberFormat="1" applyFont="1" applyFill="1" applyAlignment="1" applyProtection="1">
      <alignment horizontal="center"/>
    </xf>
    <xf numFmtId="0" fontId="6" fillId="0" borderId="0" xfId="255"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55" applyNumberFormat="1" applyFont="1" applyAlignment="1" applyProtection="1">
      <alignment horizontal="left"/>
    </xf>
    <xf numFmtId="3" fontId="6" fillId="0" borderId="0" xfId="255" applyNumberFormat="1" applyFont="1" applyAlignment="1" applyProtection="1">
      <alignment horizontal="center"/>
    </xf>
    <xf numFmtId="174" fontId="6" fillId="0" borderId="14" xfId="255" applyNumberFormat="1" applyFont="1" applyBorder="1" applyAlignment="1" applyProtection="1"/>
    <xf numFmtId="42" fontId="6" fillId="0" borderId="0" xfId="255" applyNumberFormat="1" applyFont="1" applyAlignment="1" applyProtection="1"/>
    <xf numFmtId="172" fontId="78" fillId="0" borderId="0" xfId="255" applyFont="1" applyAlignment="1" applyProtection="1">
      <alignment horizontal="center" wrapText="1"/>
    </xf>
    <xf numFmtId="0" fontId="6" fillId="0" borderId="0" xfId="0" applyNumberFormat="1" applyFont="1" applyFill="1" applyAlignment="1" applyProtection="1"/>
    <xf numFmtId="42" fontId="6" fillId="0" borderId="0" xfId="255" applyNumberFormat="1" applyFont="1" applyFill="1" applyAlignment="1" applyProtection="1"/>
    <xf numFmtId="41" fontId="6" fillId="0" borderId="0" xfId="255" applyNumberFormat="1" applyFont="1" applyFill="1" applyAlignment="1" applyProtection="1"/>
    <xf numFmtId="43" fontId="6" fillId="0" borderId="0" xfId="86" applyFont="1" applyProtection="1"/>
    <xf numFmtId="0" fontId="6" fillId="0" borderId="0" xfId="255" applyNumberFormat="1" applyFont="1" applyFill="1" applyAlignment="1" applyProtection="1"/>
    <xf numFmtId="171" fontId="6" fillId="0" borderId="0" xfId="255" applyNumberFormat="1" applyFont="1" applyProtection="1"/>
    <xf numFmtId="10" fontId="6" fillId="0" borderId="0" xfId="255" applyNumberFormat="1" applyFont="1" applyAlignment="1" applyProtection="1"/>
    <xf numFmtId="10" fontId="6" fillId="0" borderId="0" xfId="255" applyNumberFormat="1" applyFont="1" applyProtection="1"/>
    <xf numFmtId="0" fontId="33" fillId="0" borderId="0" xfId="0" applyFont="1" applyProtection="1"/>
    <xf numFmtId="10" fontId="6" fillId="0" borderId="0" xfId="267" applyNumberFormat="1" applyFont="1" applyFill="1" applyAlignment="1" applyProtection="1"/>
    <xf numFmtId="186" fontId="6" fillId="0" borderId="0" xfId="255" applyNumberFormat="1" applyFont="1" applyProtection="1"/>
    <xf numFmtId="0" fontId="6" fillId="0" borderId="0" xfId="0" applyNumberFormat="1" applyFont="1" applyFill="1" applyProtection="1"/>
    <xf numFmtId="41" fontId="6" fillId="0" borderId="0" xfId="255" applyNumberFormat="1" applyFont="1" applyAlignment="1" applyProtection="1">
      <alignment horizontal="center"/>
    </xf>
    <xf numFmtId="41" fontId="6" fillId="0" borderId="14" xfId="255" applyNumberFormat="1" applyFont="1" applyBorder="1" applyAlignment="1" applyProtection="1">
      <alignment horizontal="center"/>
    </xf>
    <xf numFmtId="41" fontId="6" fillId="0" borderId="0" xfId="255" applyNumberFormat="1" applyFont="1" applyAlignment="1" applyProtection="1">
      <alignment horizontal="right"/>
    </xf>
    <xf numFmtId="42" fontId="6" fillId="0" borderId="0" xfId="267" applyNumberFormat="1" applyFont="1" applyAlignment="1" applyProtection="1"/>
    <xf numFmtId="43" fontId="6" fillId="0" borderId="0" xfId="255" applyNumberFormat="1" applyFont="1" applyAlignment="1" applyProtection="1">
      <alignment horizontal="right"/>
    </xf>
    <xf numFmtId="43" fontId="6" fillId="0" borderId="0" xfId="86" applyFont="1" applyAlignment="1" applyProtection="1"/>
    <xf numFmtId="172" fontId="6" fillId="0" borderId="0" xfId="255" applyFont="1" applyAlignment="1" applyProtection="1">
      <alignment horizontal="right"/>
    </xf>
    <xf numFmtId="0" fontId="33" fillId="0" borderId="0" xfId="0" applyFont="1" applyAlignment="1" applyProtection="1">
      <alignment horizontal="center"/>
    </xf>
    <xf numFmtId="49" fontId="6" fillId="0" borderId="0" xfId="255" applyNumberFormat="1" applyFont="1" applyAlignment="1" applyProtection="1">
      <alignment horizontal="left"/>
    </xf>
    <xf numFmtId="0" fontId="4" fillId="0" borderId="0" xfId="255" applyNumberFormat="1" applyFont="1" applyAlignment="1" applyProtection="1">
      <alignment horizontal="center" vertical="center"/>
    </xf>
    <xf numFmtId="3" fontId="7" fillId="0" borderId="0" xfId="255" applyNumberFormat="1" applyFont="1" applyAlignment="1" applyProtection="1">
      <alignment horizontal="center"/>
    </xf>
    <xf numFmtId="172" fontId="7" fillId="0" borderId="0" xfId="255" applyFont="1" applyAlignment="1" applyProtection="1">
      <alignment horizontal="center"/>
    </xf>
    <xf numFmtId="49" fontId="7" fillId="0" borderId="0" xfId="255" applyNumberFormat="1" applyFont="1" applyAlignment="1" applyProtection="1">
      <alignment horizontal="center"/>
    </xf>
    <xf numFmtId="0" fontId="11" fillId="0" borderId="0" xfId="255" applyNumberFormat="1" applyFont="1" applyAlignment="1" applyProtection="1">
      <alignment horizontal="center"/>
    </xf>
    <xf numFmtId="172" fontId="11" fillId="0" borderId="0" xfId="255" applyFont="1" applyBorder="1" applyAlignment="1" applyProtection="1">
      <alignment horizontal="center"/>
    </xf>
    <xf numFmtId="3" fontId="7" fillId="0" borderId="0" xfId="255" applyNumberFormat="1" applyFont="1" applyAlignment="1" applyProtection="1"/>
    <xf numFmtId="0" fontId="4" fillId="0" borderId="0" xfId="255" applyNumberFormat="1" applyFont="1" applyBorder="1" applyAlignment="1" applyProtection="1">
      <alignment horizontal="center"/>
    </xf>
    <xf numFmtId="3" fontId="15" fillId="0" borderId="0" xfId="255" applyNumberFormat="1" applyFont="1" applyAlignment="1" applyProtection="1">
      <alignment horizontal="center"/>
    </xf>
    <xf numFmtId="3" fontId="6" fillId="0" borderId="0" xfId="255" applyNumberFormat="1" applyFont="1" applyFill="1" applyBorder="1" applyAlignment="1" applyProtection="1">
      <alignment horizontal="center"/>
    </xf>
    <xf numFmtId="0" fontId="29" fillId="0" borderId="0" xfId="255" applyNumberFormat="1" applyFont="1" applyBorder="1" applyAlignment="1" applyProtection="1"/>
    <xf numFmtId="0" fontId="6" fillId="0" borderId="0" xfId="255" applyNumberFormat="1" applyFont="1" applyAlignment="1" applyProtection="1">
      <alignment horizontal="center" vertical="center"/>
    </xf>
    <xf numFmtId="0" fontId="6" fillId="0" borderId="0" xfId="255" applyNumberFormat="1" applyFont="1" applyBorder="1" applyAlignment="1" applyProtection="1">
      <alignment vertical="center"/>
    </xf>
    <xf numFmtId="3" fontId="6" fillId="0" borderId="0" xfId="255" applyNumberFormat="1" applyFont="1" applyFill="1" applyAlignment="1" applyProtection="1">
      <alignment vertical="center" wrapText="1"/>
    </xf>
    <xf numFmtId="3" fontId="6" fillId="0" borderId="0" xfId="255" applyNumberFormat="1" applyFont="1" applyFill="1" applyAlignment="1" applyProtection="1">
      <alignment horizontal="center" vertical="center"/>
    </xf>
    <xf numFmtId="3" fontId="6" fillId="0" borderId="0" xfId="255" applyNumberFormat="1" applyFont="1" applyFill="1" applyAlignment="1" applyProtection="1">
      <alignment vertical="center"/>
    </xf>
    <xf numFmtId="41" fontId="6" fillId="0" borderId="0" xfId="255" applyNumberFormat="1" applyFont="1" applyFill="1" applyAlignment="1" applyProtection="1">
      <alignment vertical="center"/>
    </xf>
    <xf numFmtId="3" fontId="6" fillId="0" borderId="0" xfId="255" applyNumberFormat="1" applyFont="1" applyAlignment="1" applyProtection="1">
      <alignment vertical="center"/>
    </xf>
    <xf numFmtId="0" fontId="6" fillId="0" borderId="0" xfId="255" applyNumberFormat="1" applyFont="1" applyFill="1" applyBorder="1" applyAlignment="1" applyProtection="1"/>
    <xf numFmtId="0" fontId="6" fillId="0" borderId="0" xfId="255" applyNumberFormat="1" applyFont="1" applyBorder="1" applyAlignment="1" applyProtection="1"/>
    <xf numFmtId="41" fontId="6" fillId="0" borderId="6" xfId="255" applyNumberFormat="1" applyFont="1" applyFill="1" applyBorder="1" applyAlignment="1" applyProtection="1"/>
    <xf numFmtId="0" fontId="33" fillId="0" borderId="0" xfId="0" applyFont="1" applyAlignment="1" applyProtection="1"/>
    <xf numFmtId="172" fontId="7" fillId="0" borderId="0" xfId="255" applyFont="1" applyFill="1" applyAlignment="1" applyProtection="1">
      <alignment horizontal="right"/>
    </xf>
    <xf numFmtId="178" fontId="7" fillId="0" borderId="0" xfId="255" applyNumberFormat="1" applyFont="1" applyFill="1" applyAlignment="1" applyProtection="1">
      <alignment horizontal="right"/>
    </xf>
    <xf numFmtId="166" fontId="7" fillId="0" borderId="0" xfId="255" applyNumberFormat="1" applyFont="1" applyFill="1" applyAlignment="1" applyProtection="1">
      <alignment horizontal="right"/>
    </xf>
    <xf numFmtId="178" fontId="6" fillId="0" borderId="0" xfId="255" applyNumberFormat="1" applyFont="1" applyAlignment="1" applyProtection="1"/>
    <xf numFmtId="184" fontId="6" fillId="0" borderId="0" xfId="255" applyNumberFormat="1" applyFont="1" applyFill="1" applyAlignment="1" applyProtection="1"/>
    <xf numFmtId="183" fontId="6" fillId="0" borderId="0" xfId="255" applyNumberFormat="1" applyFont="1" applyFill="1" applyAlignment="1" applyProtection="1"/>
    <xf numFmtId="3" fontId="7" fillId="0" borderId="0" xfId="255" applyNumberFormat="1" applyFont="1" applyFill="1" applyAlignment="1" applyProtection="1">
      <alignment horizontal="right" vertical="center"/>
    </xf>
    <xf numFmtId="165" fontId="6" fillId="0" borderId="0" xfId="255" applyNumberFormat="1" applyFont="1" applyFill="1" applyAlignment="1" applyProtection="1"/>
    <xf numFmtId="0" fontId="6" fillId="0" borderId="0" xfId="255" applyNumberFormat="1" applyFont="1" applyFill="1" applyAlignment="1" applyProtection="1">
      <alignment horizontal="center" vertical="center"/>
    </xf>
    <xf numFmtId="0" fontId="33" fillId="0" borderId="0" xfId="0" applyFont="1" applyAlignment="1" applyProtection="1">
      <alignment wrapText="1"/>
    </xf>
    <xf numFmtId="0" fontId="33" fillId="0" borderId="0" xfId="0" applyFont="1" applyAlignment="1" applyProtection="1">
      <alignment horizontal="center" wrapText="1"/>
    </xf>
    <xf numFmtId="164" fontId="6" fillId="0" borderId="0" xfId="255" applyNumberFormat="1" applyFont="1" applyFill="1" applyAlignment="1" applyProtection="1">
      <alignment horizontal="center"/>
    </xf>
    <xf numFmtId="0" fontId="4" fillId="32" borderId="0" xfId="255" applyNumberFormat="1" applyFont="1" applyFill="1" applyAlignment="1" applyProtection="1">
      <alignment horizontal="center"/>
    </xf>
    <xf numFmtId="41" fontId="6" fillId="0" borderId="0" xfId="255" applyNumberFormat="1" applyFont="1" applyAlignment="1" applyProtection="1"/>
    <xf numFmtId="165" fontId="6" fillId="0" borderId="0" xfId="255" applyNumberFormat="1" applyFont="1" applyAlignment="1" applyProtection="1"/>
    <xf numFmtId="3" fontId="7" fillId="0" borderId="0" xfId="255" applyNumberFormat="1" applyFont="1" applyFill="1" applyAlignment="1" applyProtection="1">
      <alignment horizontal="right"/>
    </xf>
    <xf numFmtId="182" fontId="6" fillId="0" borderId="0" xfId="86" applyNumberFormat="1" applyFont="1" applyFill="1" applyAlignment="1" applyProtection="1"/>
    <xf numFmtId="172" fontId="6" fillId="0" borderId="0" xfId="255" applyFont="1" applyBorder="1" applyAlignment="1" applyProtection="1"/>
    <xf numFmtId="164" fontId="6" fillId="0" borderId="0" xfId="255" applyNumberFormat="1" applyFont="1" applyFill="1" applyAlignment="1" applyProtection="1">
      <alignment horizontal="left"/>
    </xf>
    <xf numFmtId="0" fontId="33" fillId="0" borderId="0" xfId="0" applyFont="1" applyFill="1" applyProtection="1"/>
    <xf numFmtId="175" fontId="6" fillId="0" borderId="0" xfId="255" applyNumberFormat="1" applyFont="1" applyAlignment="1" applyProtection="1"/>
    <xf numFmtId="41" fontId="6" fillId="0" borderId="0" xfId="255" applyNumberFormat="1" applyFont="1" applyAlignment="1" applyProtection="1">
      <alignment horizontal="center" vertical="center"/>
    </xf>
    <xf numFmtId="41" fontId="6" fillId="0" borderId="6" xfId="255" applyNumberFormat="1" applyFont="1" applyBorder="1" applyAlignment="1" applyProtection="1"/>
    <xf numFmtId="41" fontId="6" fillId="0" borderId="16" xfId="255" applyNumberFormat="1" applyFont="1" applyBorder="1" applyAlignment="1" applyProtection="1"/>
    <xf numFmtId="164" fontId="6" fillId="0" borderId="0" xfId="255" applyNumberFormat="1" applyFont="1" applyAlignment="1" applyProtection="1">
      <alignment horizontal="center"/>
    </xf>
    <xf numFmtId="0" fontId="86" fillId="0" borderId="0" xfId="255" applyNumberFormat="1" applyFont="1" applyAlignment="1" applyProtection="1">
      <alignment horizontal="center"/>
    </xf>
    <xf numFmtId="3" fontId="6" fillId="0" borderId="0" xfId="255" applyNumberFormat="1" applyFont="1" applyAlignment="1" applyProtection="1">
      <alignment horizontal="right"/>
    </xf>
    <xf numFmtId="172" fontId="6" fillId="0" borderId="0" xfId="255" applyFont="1" applyAlignment="1" applyProtection="1">
      <alignment horizontal="center"/>
    </xf>
    <xf numFmtId="172" fontId="6" fillId="0" borderId="0" xfId="255" applyFont="1" applyFill="1" applyAlignment="1" applyProtection="1">
      <alignment horizontal="center"/>
    </xf>
    <xf numFmtId="0" fontId="0" fillId="0" borderId="0" xfId="0" applyAlignment="1" applyProtection="1">
      <alignment horizontal="center"/>
    </xf>
    <xf numFmtId="0" fontId="7" fillId="0" borderId="0" xfId="255" applyNumberFormat="1" applyFont="1" applyAlignment="1" applyProtection="1">
      <alignment horizontal="center"/>
    </xf>
    <xf numFmtId="172" fontId="7" fillId="0" borderId="0" xfId="255" applyFont="1" applyAlignment="1" applyProtection="1"/>
    <xf numFmtId="3" fontId="11" fillId="0" borderId="0" xfId="255" applyNumberFormat="1" applyFont="1" applyAlignment="1" applyProtection="1">
      <alignment horizontal="center"/>
    </xf>
    <xf numFmtId="3" fontId="7" fillId="0" borderId="0" xfId="255" applyNumberFormat="1" applyFont="1" applyFill="1" applyAlignment="1" applyProtection="1"/>
    <xf numFmtId="3" fontId="11" fillId="0" borderId="0" xfId="255" applyNumberFormat="1" applyFont="1" applyFill="1" applyAlignment="1" applyProtection="1"/>
    <xf numFmtId="3" fontId="11" fillId="0" borderId="0" xfId="255" applyNumberFormat="1" applyFont="1" applyAlignment="1" applyProtection="1"/>
    <xf numFmtId="41" fontId="152" fillId="32" borderId="0" xfId="255" applyNumberFormat="1" applyFont="1" applyFill="1" applyAlignment="1" applyProtection="1">
      <alignment wrapText="1"/>
    </xf>
    <xf numFmtId="0" fontId="33" fillId="0" borderId="0" xfId="0" applyFont="1" applyBorder="1" applyProtection="1"/>
    <xf numFmtId="43" fontId="13" fillId="0" borderId="0" xfId="86" applyNumberFormat="1" applyFont="1" applyAlignment="1" applyProtection="1"/>
    <xf numFmtId="41" fontId="6" fillId="0" borderId="0" xfId="255" applyNumberFormat="1" applyFont="1" applyFill="1" applyAlignment="1" applyProtection="1">
      <alignment horizontal="center"/>
    </xf>
    <xf numFmtId="3" fontId="94" fillId="0" borderId="0" xfId="255" applyNumberFormat="1" applyFont="1" applyFill="1" applyAlignment="1" applyProtection="1">
      <alignment horizontal="right"/>
    </xf>
    <xf numFmtId="41" fontId="6" fillId="0" borderId="0" xfId="255" applyNumberFormat="1" applyFont="1" applyBorder="1" applyAlignment="1" applyProtection="1"/>
    <xf numFmtId="3" fontId="6" fillId="0" borderId="0" xfId="255" applyNumberFormat="1" applyFont="1" applyAlignment="1" applyProtection="1">
      <alignment vertical="center" wrapText="1"/>
    </xf>
    <xf numFmtId="41" fontId="94" fillId="0" borderId="0" xfId="255" applyNumberFormat="1" applyFont="1" applyFill="1" applyAlignment="1" applyProtection="1">
      <alignment horizontal="right"/>
    </xf>
    <xf numFmtId="3" fontId="6" fillId="0" borderId="0" xfId="255" applyNumberFormat="1" applyFont="1" applyAlignment="1" applyProtection="1">
      <alignment horizontal="center" vertical="center"/>
    </xf>
    <xf numFmtId="41" fontId="6" fillId="0" borderId="0" xfId="255" applyNumberFormat="1" applyFont="1" applyAlignment="1" applyProtection="1">
      <alignment vertical="center"/>
    </xf>
    <xf numFmtId="3" fontId="6" fillId="0" borderId="0" xfId="255" applyNumberFormat="1" applyFont="1" applyAlignment="1" applyProtection="1">
      <alignment horizontal="left" wrapText="1"/>
    </xf>
    <xf numFmtId="0" fontId="13" fillId="0" borderId="0" xfId="0" applyFont="1" applyAlignment="1" applyProtection="1">
      <alignment horizontal="left" wrapText="1"/>
    </xf>
    <xf numFmtId="3" fontId="6" fillId="0" borderId="0" xfId="255" applyNumberFormat="1" applyFont="1" applyFill="1" applyAlignment="1" applyProtection="1">
      <alignment horizontal="right"/>
    </xf>
    <xf numFmtId="43" fontId="6" fillId="0" borderId="0" xfId="267" applyNumberFormat="1" applyFont="1" applyFill="1" applyAlignment="1" applyProtection="1"/>
    <xf numFmtId="166" fontId="6" fillId="0" borderId="0" xfId="255" applyNumberFormat="1" applyFont="1" applyAlignment="1" applyProtection="1"/>
    <xf numFmtId="182" fontId="6" fillId="0" borderId="0" xfId="86" applyNumberFormat="1" applyFont="1" applyAlignment="1" applyProtection="1"/>
    <xf numFmtId="167" fontId="6" fillId="0" borderId="0" xfId="255" applyNumberFormat="1" applyFont="1" applyAlignment="1" applyProtection="1"/>
    <xf numFmtId="172" fontId="24" fillId="0" borderId="0" xfId="255" applyFont="1" applyAlignment="1" applyProtection="1"/>
    <xf numFmtId="164" fontId="6" fillId="0" borderId="0" xfId="255" applyNumberFormat="1" applyFont="1" applyBorder="1" applyAlignment="1" applyProtection="1">
      <alignment horizontal="left"/>
    </xf>
    <xf numFmtId="168" fontId="6" fillId="0" borderId="0" xfId="255" applyNumberFormat="1" applyFont="1" applyAlignment="1" applyProtection="1"/>
    <xf numFmtId="10" fontId="6" fillId="0" borderId="0" xfId="255" applyNumberFormat="1" applyFont="1" applyFill="1" applyAlignment="1" applyProtection="1">
      <alignment horizontal="right"/>
    </xf>
    <xf numFmtId="10" fontId="33" fillId="0" borderId="0" xfId="267" applyNumberFormat="1" applyFont="1" applyProtection="1"/>
    <xf numFmtId="3" fontId="24" fillId="0" borderId="0" xfId="255" applyNumberFormat="1" applyFont="1" applyAlignment="1" applyProtection="1"/>
    <xf numFmtId="167" fontId="6" fillId="0" borderId="0" xfId="255" applyNumberFormat="1" applyFont="1" applyFill="1" applyAlignment="1" applyProtection="1"/>
    <xf numFmtId="166" fontId="6" fillId="0" borderId="0" xfId="255" applyNumberFormat="1" applyFont="1" applyAlignment="1" applyProtection="1">
      <alignment horizontal="center"/>
    </xf>
    <xf numFmtId="188" fontId="24" fillId="0" borderId="0" xfId="255" applyNumberFormat="1" applyFont="1" applyAlignment="1" applyProtection="1">
      <alignment horizontal="center"/>
    </xf>
    <xf numFmtId="189" fontId="6" fillId="0" borderId="0" xfId="255" applyNumberFormat="1" applyFont="1" applyAlignment="1" applyProtection="1"/>
    <xf numFmtId="164" fontId="6" fillId="0" borderId="0" xfId="255" applyNumberFormat="1" applyFont="1" applyFill="1" applyBorder="1" applyAlignment="1" applyProtection="1">
      <alignment horizontal="left"/>
    </xf>
    <xf numFmtId="179" fontId="6" fillId="0" borderId="0" xfId="255" applyNumberFormat="1" applyFont="1" applyFill="1" applyAlignment="1" applyProtection="1">
      <alignment horizontal="right"/>
    </xf>
    <xf numFmtId="186" fontId="6" fillId="0" borderId="0" xfId="86" applyNumberFormat="1" applyFont="1" applyAlignment="1" applyProtection="1">
      <alignment horizontal="center"/>
    </xf>
    <xf numFmtId="41" fontId="24" fillId="0" borderId="0" xfId="255" applyNumberFormat="1" applyFont="1" applyAlignment="1" applyProtection="1"/>
    <xf numFmtId="43" fontId="24" fillId="0" borderId="0" xfId="86" applyFont="1" applyAlignment="1" applyProtection="1"/>
    <xf numFmtId="10" fontId="6" fillId="0" borderId="0" xfId="255" applyNumberFormat="1" applyFont="1" applyFill="1" applyAlignment="1" applyProtection="1">
      <alignment horizontal="left"/>
    </xf>
    <xf numFmtId="168" fontId="6" fillId="0" borderId="0" xfId="255" applyNumberFormat="1" applyFont="1" applyFill="1" applyAlignment="1" applyProtection="1">
      <alignment horizontal="left"/>
    </xf>
    <xf numFmtId="0" fontId="13" fillId="0" borderId="0" xfId="0" applyFont="1" applyProtection="1"/>
    <xf numFmtId="41" fontId="6" fillId="0" borderId="0" xfId="255" applyNumberFormat="1" applyFont="1" applyFill="1" applyAlignment="1" applyProtection="1">
      <alignment horizontal="right"/>
    </xf>
    <xf numFmtId="179" fontId="6" fillId="0" borderId="0" xfId="255" applyNumberFormat="1" applyFont="1" applyAlignment="1" applyProtection="1"/>
    <xf numFmtId="173" fontId="6" fillId="0" borderId="0" xfId="255" applyNumberFormat="1" applyFont="1" applyAlignment="1" applyProtection="1"/>
    <xf numFmtId="164" fontId="6" fillId="0" borderId="0" xfId="255" applyNumberFormat="1" applyFont="1" applyFill="1" applyBorder="1" applyAlignment="1" applyProtection="1">
      <alignment horizontal="left" vertical="center"/>
    </xf>
    <xf numFmtId="41" fontId="6" fillId="0" borderId="0" xfId="255" applyNumberFormat="1" applyFont="1" applyFill="1" applyAlignment="1" applyProtection="1">
      <alignment horizontal="center" vertical="center"/>
    </xf>
    <xf numFmtId="180" fontId="6" fillId="0" borderId="0" xfId="255" applyNumberFormat="1" applyFont="1" applyAlignment="1" applyProtection="1"/>
    <xf numFmtId="173" fontId="6" fillId="0" borderId="14" xfId="86" applyNumberFormat="1" applyFont="1" applyBorder="1" applyAlignment="1" applyProtection="1"/>
    <xf numFmtId="0" fontId="6" fillId="0" borderId="0" xfId="255" applyNumberFormat="1" applyFont="1" applyFill="1" applyBorder="1" applyAlignment="1" applyProtection="1">
      <alignment horizontal="left"/>
    </xf>
    <xf numFmtId="0" fontId="7" fillId="0" borderId="0" xfId="255" applyNumberFormat="1" applyFont="1" applyAlignment="1" applyProtection="1"/>
    <xf numFmtId="0" fontId="6" fillId="0" borderId="0" xfId="0" applyFont="1" applyFill="1" applyAlignment="1" applyProtection="1">
      <alignment horizontal="left"/>
    </xf>
    <xf numFmtId="0" fontId="6" fillId="0" borderId="0" xfId="255" applyNumberFormat="1" applyFont="1" applyFill="1" applyBorder="1" applyProtection="1"/>
    <xf numFmtId="3" fontId="6" fillId="0" borderId="0" xfId="255" applyNumberFormat="1" applyFont="1" applyFill="1" applyBorder="1" applyAlignment="1" applyProtection="1"/>
    <xf numFmtId="172" fontId="6" fillId="0" borderId="0" xfId="255" applyFont="1" applyFill="1" applyBorder="1" applyAlignment="1" applyProtection="1"/>
    <xf numFmtId="172" fontId="6" fillId="0" borderId="0" xfId="255" applyFont="1" applyFill="1" applyBorder="1" applyAlignment="1" applyProtection="1">
      <alignment horizontal="center"/>
    </xf>
    <xf numFmtId="3" fontId="6" fillId="0" borderId="0" xfId="255" applyNumberFormat="1" applyFont="1" applyFill="1" applyBorder="1" applyAlignment="1" applyProtection="1">
      <alignment horizontal="left"/>
    </xf>
    <xf numFmtId="0" fontId="6" fillId="0" borderId="0" xfId="255" applyNumberFormat="1" applyFont="1" applyFill="1" applyBorder="1" applyAlignment="1" applyProtection="1">
      <alignment horizontal="center"/>
    </xf>
    <xf numFmtId="49" fontId="6" fillId="0" borderId="0" xfId="255" applyNumberFormat="1" applyFont="1" applyFill="1" applyBorder="1" applyProtection="1"/>
    <xf numFmtId="49" fontId="6" fillId="0" borderId="0" xfId="255" applyNumberFormat="1" applyFont="1" applyFill="1" applyBorder="1" applyAlignment="1" applyProtection="1"/>
    <xf numFmtId="49" fontId="6" fillId="0" borderId="0" xfId="255" applyNumberFormat="1" applyFont="1" applyFill="1" applyBorder="1" applyAlignment="1" applyProtection="1">
      <alignment horizontal="center"/>
    </xf>
    <xf numFmtId="3" fontId="7" fillId="0" borderId="0" xfId="255" applyNumberFormat="1" applyFont="1" applyFill="1" applyBorder="1" applyAlignment="1" applyProtection="1">
      <alignment horizontal="right"/>
    </xf>
    <xf numFmtId="165" fontId="7" fillId="0" borderId="0" xfId="255" applyNumberFormat="1" applyFont="1" applyFill="1" applyBorder="1" applyAlignment="1" applyProtection="1">
      <alignment horizontal="right"/>
    </xf>
    <xf numFmtId="0" fontId="7" fillId="0" borderId="0" xfId="255" applyNumberFormat="1" applyFont="1" applyFill="1" applyAlignment="1" applyProtection="1"/>
    <xf numFmtId="3" fontId="6" fillId="0" borderId="0" xfId="255" applyNumberFormat="1" applyFont="1" applyFill="1" applyProtection="1"/>
    <xf numFmtId="3" fontId="6" fillId="0" borderId="0" xfId="255" applyNumberFormat="1" applyFont="1" applyFill="1" applyAlignment="1" applyProtection="1">
      <alignment horizontal="center" wrapText="1"/>
    </xf>
    <xf numFmtId="173" fontId="6" fillId="0" borderId="0" xfId="86" applyNumberFormat="1" applyFont="1" applyFill="1" applyAlignment="1" applyProtection="1"/>
    <xf numFmtId="4" fontId="6" fillId="0" borderId="0" xfId="255" applyNumberFormat="1" applyFont="1" applyAlignment="1" applyProtection="1"/>
    <xf numFmtId="172" fontId="7" fillId="0" borderId="0" xfId="255" applyFont="1" applyAlignment="1" applyProtection="1">
      <alignment horizontal="right"/>
    </xf>
    <xf numFmtId="165" fontId="7" fillId="0" borderId="0" xfId="255" applyNumberFormat="1" applyFont="1" applyAlignment="1" applyProtection="1"/>
    <xf numFmtId="0" fontId="11" fillId="0" borderId="0" xfId="255" applyNumberFormat="1" applyFont="1" applyFill="1" applyBorder="1" applyAlignment="1" applyProtection="1"/>
    <xf numFmtId="3" fontId="6" fillId="0" borderId="6" xfId="255" applyNumberFormat="1" applyFont="1" applyFill="1" applyBorder="1" applyAlignment="1" applyProtection="1">
      <alignment horizontal="center"/>
    </xf>
    <xf numFmtId="41" fontId="7" fillId="0" borderId="0" xfId="255" applyNumberFormat="1" applyFont="1" applyFill="1" applyAlignment="1" applyProtection="1"/>
    <xf numFmtId="0" fontId="15" fillId="0" borderId="0" xfId="255" applyNumberFormat="1" applyFont="1" applyFill="1" applyBorder="1" applyAlignment="1" applyProtection="1">
      <alignment horizontal="left"/>
    </xf>
    <xf numFmtId="3" fontId="6" fillId="32" borderId="0" xfId="255" applyNumberFormat="1" applyFont="1" applyFill="1" applyAlignment="1" applyProtection="1"/>
    <xf numFmtId="0" fontId="13" fillId="0" borderId="0" xfId="0" applyFont="1" applyFill="1" applyProtection="1"/>
    <xf numFmtId="0" fontId="6" fillId="0" borderId="0" xfId="255" applyNumberFormat="1" applyFont="1" applyFill="1" applyAlignment="1" applyProtection="1">
      <alignment horizontal="left"/>
    </xf>
    <xf numFmtId="0" fontId="6" fillId="0" borderId="6" xfId="255" applyNumberFormat="1" applyFont="1" applyFill="1" applyBorder="1" applyAlignment="1" applyProtection="1">
      <alignment horizontal="center"/>
    </xf>
    <xf numFmtId="182" fontId="6" fillId="0" borderId="6" xfId="86" applyNumberFormat="1" applyFont="1" applyFill="1" applyBorder="1" applyAlignment="1" applyProtection="1">
      <alignment horizontal="center"/>
    </xf>
    <xf numFmtId="10" fontId="6" fillId="0" borderId="0" xfId="255" applyNumberFormat="1" applyFont="1" applyFill="1" applyAlignment="1" applyProtection="1"/>
    <xf numFmtId="169" fontId="6" fillId="0" borderId="17" xfId="255" applyNumberFormat="1" applyFont="1" applyFill="1" applyBorder="1" applyAlignment="1" applyProtection="1"/>
    <xf numFmtId="169" fontId="6" fillId="0" borderId="0" xfId="255" applyNumberFormat="1" applyFont="1" applyFill="1" applyBorder="1" applyAlignment="1" applyProtection="1"/>
    <xf numFmtId="10" fontId="6" fillId="0" borderId="6" xfId="255" applyNumberFormat="1" applyFont="1" applyFill="1" applyBorder="1" applyAlignment="1" applyProtection="1"/>
    <xf numFmtId="169" fontId="6" fillId="0" borderId="6" xfId="255" applyNumberFormat="1" applyFont="1" applyFill="1" applyBorder="1" applyAlignment="1" applyProtection="1"/>
    <xf numFmtId="182" fontId="13" fillId="0" borderId="0" xfId="86" applyNumberFormat="1" applyFont="1" applyFill="1" applyProtection="1"/>
    <xf numFmtId="169" fontId="7" fillId="0" borderId="0" xfId="255" applyNumberFormat="1" applyFont="1" applyFill="1" applyAlignment="1" applyProtection="1"/>
    <xf numFmtId="0" fontId="4" fillId="31" borderId="0" xfId="255" applyNumberFormat="1" applyFont="1" applyFill="1" applyAlignment="1" applyProtection="1">
      <alignment horizontal="center"/>
    </xf>
    <xf numFmtId="0" fontId="6" fillId="31" borderId="0" xfId="255" applyNumberFormat="1" applyFont="1" applyFill="1" applyAlignment="1" applyProtection="1">
      <alignment horizontal="center"/>
    </xf>
    <xf numFmtId="0" fontId="11" fillId="31" borderId="0" xfId="255" applyNumberFormat="1" applyFont="1" applyFill="1" applyBorder="1" applyAlignment="1" applyProtection="1"/>
    <xf numFmtId="0" fontId="6" fillId="31" borderId="0" xfId="255" applyNumberFormat="1" applyFont="1" applyFill="1" applyBorder="1" applyAlignment="1" applyProtection="1">
      <alignment horizontal="left"/>
    </xf>
    <xf numFmtId="3" fontId="6" fillId="31" borderId="0" xfId="255" applyNumberFormat="1" applyFont="1" applyFill="1" applyAlignment="1" applyProtection="1"/>
    <xf numFmtId="172" fontId="6" fillId="31" borderId="0" xfId="255" applyFont="1" applyFill="1" applyAlignment="1" applyProtection="1"/>
    <xf numFmtId="3" fontId="7" fillId="31" borderId="0" xfId="255" applyNumberFormat="1" applyFont="1" applyFill="1" applyAlignment="1" applyProtection="1"/>
    <xf numFmtId="166" fontId="7" fillId="31" borderId="0" xfId="255" applyNumberFormat="1" applyFont="1" applyFill="1" applyProtection="1"/>
    <xf numFmtId="0" fontId="6" fillId="31" borderId="0" xfId="255" applyNumberFormat="1" applyFont="1" applyFill="1" applyBorder="1" applyAlignment="1" applyProtection="1"/>
    <xf numFmtId="3" fontId="6" fillId="31" borderId="6" xfId="255" applyNumberFormat="1" applyFont="1" applyFill="1" applyBorder="1" applyAlignment="1" applyProtection="1">
      <alignment horizontal="center"/>
    </xf>
    <xf numFmtId="41" fontId="6" fillId="31" borderId="0" xfId="255" applyNumberFormat="1" applyFont="1" applyFill="1" applyAlignment="1" applyProtection="1"/>
    <xf numFmtId="0" fontId="15" fillId="31" borderId="0" xfId="255" applyNumberFormat="1" applyFont="1" applyFill="1" applyBorder="1" applyAlignment="1" applyProtection="1">
      <alignment horizontal="left"/>
    </xf>
    <xf numFmtId="0" fontId="0" fillId="31" borderId="0" xfId="0" applyFill="1" applyProtection="1"/>
    <xf numFmtId="0" fontId="6" fillId="31" borderId="0" xfId="255" applyNumberFormat="1" applyFont="1" applyFill="1" applyProtection="1"/>
    <xf numFmtId="0" fontId="33" fillId="31" borderId="0" xfId="0" applyFont="1" applyFill="1" applyProtection="1"/>
    <xf numFmtId="41" fontId="20" fillId="31" borderId="0" xfId="255" applyNumberFormat="1" applyFont="1" applyFill="1" applyAlignment="1" applyProtection="1"/>
    <xf numFmtId="10" fontId="6" fillId="31" borderId="0" xfId="267" applyNumberFormat="1" applyFont="1" applyFill="1" applyAlignment="1" applyProtection="1"/>
    <xf numFmtId="41" fontId="20" fillId="31" borderId="6" xfId="255" applyNumberFormat="1" applyFont="1" applyFill="1" applyBorder="1" applyAlignment="1" applyProtection="1"/>
    <xf numFmtId="0" fontId="6" fillId="31" borderId="0" xfId="255" applyNumberFormat="1" applyFont="1" applyFill="1" applyAlignment="1" applyProtection="1">
      <alignment horizontal="left"/>
    </xf>
    <xf numFmtId="3" fontId="24" fillId="31" borderId="0" xfId="255" applyNumberFormat="1" applyFont="1" applyFill="1" applyAlignment="1" applyProtection="1"/>
    <xf numFmtId="0" fontId="6" fillId="31" borderId="6" xfId="255" applyNumberFormat="1" applyFont="1" applyFill="1" applyBorder="1" applyAlignment="1" applyProtection="1">
      <alignment horizontal="center"/>
    </xf>
    <xf numFmtId="182" fontId="6" fillId="31" borderId="6" xfId="86" applyNumberFormat="1" applyFont="1" applyFill="1" applyBorder="1" applyAlignment="1" applyProtection="1">
      <alignment horizontal="center"/>
    </xf>
    <xf numFmtId="10" fontId="6" fillId="31" borderId="0" xfId="255" applyNumberFormat="1" applyFont="1" applyFill="1" applyAlignment="1" applyProtection="1"/>
    <xf numFmtId="169" fontId="24" fillId="31" borderId="0" xfId="255" applyNumberFormat="1" applyFont="1" applyFill="1" applyAlignment="1" applyProtection="1"/>
    <xf numFmtId="169" fontId="6" fillId="31" borderId="17" xfId="255" applyNumberFormat="1" applyFont="1" applyFill="1" applyBorder="1" applyAlignment="1" applyProtection="1"/>
    <xf numFmtId="3" fontId="6" fillId="0" borderId="0" xfId="255" quotePrefix="1" applyNumberFormat="1" applyFont="1" applyAlignment="1" applyProtection="1"/>
    <xf numFmtId="169" fontId="6" fillId="31" borderId="0" xfId="255" applyNumberFormat="1" applyFont="1" applyFill="1" applyBorder="1" applyAlignment="1" applyProtection="1"/>
    <xf numFmtId="10" fontId="6" fillId="31" borderId="0" xfId="255" applyNumberFormat="1" applyFont="1" applyFill="1" applyBorder="1" applyAlignment="1" applyProtection="1"/>
    <xf numFmtId="41" fontId="6" fillId="31" borderId="6" xfId="255" applyNumberFormat="1" applyFont="1" applyFill="1" applyBorder="1" applyAlignment="1" applyProtection="1"/>
    <xf numFmtId="169" fontId="6" fillId="31" borderId="6" xfId="255" applyNumberFormat="1" applyFont="1" applyFill="1" applyBorder="1" applyAlignment="1" applyProtection="1"/>
    <xf numFmtId="182" fontId="23" fillId="31" borderId="0" xfId="86" applyNumberFormat="1" applyFont="1" applyFill="1" applyProtection="1"/>
    <xf numFmtId="3" fontId="7" fillId="31" borderId="0" xfId="255" applyNumberFormat="1" applyFont="1" applyFill="1" applyAlignment="1" applyProtection="1">
      <alignment horizontal="right"/>
    </xf>
    <xf numFmtId="169" fontId="7" fillId="31" borderId="0" xfId="255" applyNumberFormat="1" applyFont="1" applyFill="1" applyAlignment="1" applyProtection="1"/>
    <xf numFmtId="3" fontId="7" fillId="0" borderId="0" xfId="255" quotePrefix="1" applyNumberFormat="1" applyFont="1" applyAlignment="1" applyProtection="1"/>
    <xf numFmtId="0" fontId="0" fillId="0" borderId="0" xfId="0" applyFill="1" applyProtection="1"/>
    <xf numFmtId="0" fontId="6" fillId="0" borderId="0" xfId="0" applyFont="1" applyFill="1" applyProtection="1"/>
    <xf numFmtId="0" fontId="6" fillId="0" borderId="0" xfId="0" applyFont="1" applyProtection="1"/>
    <xf numFmtId="172" fontId="6" fillId="0" borderId="0" xfId="255" applyNumberFormat="1" applyFont="1" applyAlignment="1" applyProtection="1"/>
    <xf numFmtId="172" fontId="6" fillId="0" borderId="0" xfId="255" applyFont="1" applyFill="1" applyAlignment="1" applyProtection="1">
      <alignment horizontal="right"/>
    </xf>
    <xf numFmtId="172" fontId="11" fillId="0" borderId="0" xfId="255" applyFont="1" applyAlignment="1" applyProtection="1">
      <alignment horizontal="center"/>
    </xf>
    <xf numFmtId="172" fontId="4" fillId="0" borderId="0" xfId="255" applyFont="1" applyFill="1" applyAlignment="1" applyProtection="1">
      <alignment horizontal="center"/>
    </xf>
    <xf numFmtId="172" fontId="4" fillId="0" borderId="0" xfId="255" applyFont="1" applyFill="1" applyAlignment="1" applyProtection="1"/>
    <xf numFmtId="10" fontId="6" fillId="0" borderId="0" xfId="255" applyNumberFormat="1" applyFont="1" applyFill="1" applyProtection="1"/>
    <xf numFmtId="0" fontId="13" fillId="0" borderId="0" xfId="0" applyFont="1" applyAlignment="1" applyProtection="1"/>
    <xf numFmtId="0" fontId="23" fillId="0" borderId="0" xfId="0" applyFont="1" applyAlignment="1" applyProtection="1"/>
    <xf numFmtId="0" fontId="27" fillId="0" borderId="0" xfId="255" applyNumberFormat="1" applyFont="1" applyFill="1" applyAlignment="1" applyProtection="1"/>
    <xf numFmtId="0" fontId="108" fillId="0" borderId="0" xfId="255" applyNumberFormat="1" applyFont="1" applyFill="1" applyAlignment="1" applyProtection="1"/>
    <xf numFmtId="0" fontId="27" fillId="0" borderId="0" xfId="255" applyNumberFormat="1" applyFont="1" applyFill="1" applyProtection="1"/>
    <xf numFmtId="172" fontId="27" fillId="0" borderId="0" xfId="255" applyFont="1" applyFill="1" applyAlignment="1" applyProtection="1"/>
    <xf numFmtId="0" fontId="27" fillId="0" borderId="0" xfId="0" applyFont="1" applyAlignment="1" applyProtection="1">
      <alignment vertical="top" wrapText="1"/>
    </xf>
    <xf numFmtId="172" fontId="27" fillId="0" borderId="0" xfId="255" applyFont="1" applyFill="1" applyAlignment="1" applyProtection="1">
      <alignment wrapText="1"/>
    </xf>
    <xf numFmtId="172" fontId="108" fillId="0" borderId="0" xfId="255" applyFont="1" applyFill="1" applyAlignment="1" applyProtection="1"/>
    <xf numFmtId="172" fontId="24" fillId="0" borderId="0" xfId="255" applyFont="1" applyFill="1" applyAlignment="1" applyProtection="1"/>
    <xf numFmtId="0" fontId="4" fillId="0" borderId="0" xfId="255" applyNumberFormat="1" applyFont="1" applyFill="1" applyProtection="1"/>
    <xf numFmtId="172" fontId="4" fillId="0" borderId="0" xfId="255" applyFont="1" applyFill="1" applyAlignment="1" applyProtection="1">
      <alignment horizontal="center" wrapText="1"/>
    </xf>
    <xf numFmtId="172" fontId="78" fillId="0" borderId="0" xfId="255" applyFont="1" applyFill="1" applyAlignment="1" applyProtection="1">
      <alignment horizontal="center" wrapText="1"/>
    </xf>
    <xf numFmtId="0" fontId="6" fillId="32" borderId="0" xfId="255" applyNumberFormat="1" applyFont="1" applyFill="1" applyAlignment="1" applyProtection="1">
      <alignment vertical="top" wrapText="1"/>
    </xf>
    <xf numFmtId="0" fontId="13" fillId="32" borderId="0" xfId="0" applyFont="1" applyFill="1" applyProtection="1"/>
    <xf numFmtId="0" fontId="94" fillId="0" borderId="0" xfId="255" applyNumberFormat="1" applyFont="1" applyFill="1" applyAlignment="1" applyProtection="1">
      <alignment horizontal="center"/>
    </xf>
    <xf numFmtId="172" fontId="24" fillId="0" borderId="0" xfId="255" applyFont="1" applyAlignment="1" applyProtection="1">
      <alignment wrapText="1"/>
    </xf>
    <xf numFmtId="173" fontId="20" fillId="0" borderId="0" xfId="86" applyNumberFormat="1" applyFont="1" applyFill="1" applyAlignment="1" applyProtection="1">
      <alignment horizontal="right"/>
    </xf>
    <xf numFmtId="10" fontId="20" fillId="30" borderId="0" xfId="267" applyNumberFormat="1" applyFont="1" applyFill="1" applyAlignment="1" applyProtection="1">
      <protection locked="0"/>
    </xf>
    <xf numFmtId="0" fontId="20" fillId="30" borderId="0" xfId="86" applyNumberFormat="1" applyFont="1" applyFill="1" applyAlignment="1" applyProtection="1">
      <protection locked="0"/>
    </xf>
    <xf numFmtId="0" fontId="6" fillId="0" borderId="0" xfId="0" applyFont="1" applyAlignment="1" applyProtection="1">
      <alignment horizontal="center"/>
    </xf>
    <xf numFmtId="0" fontId="13" fillId="0" borderId="0" xfId="207" applyFont="1" applyBorder="1" applyProtection="1"/>
    <xf numFmtId="0" fontId="6" fillId="0" borderId="0" xfId="207" applyFont="1" applyBorder="1" applyAlignment="1" applyProtection="1">
      <alignment horizontal="center"/>
    </xf>
    <xf numFmtId="0" fontId="13" fillId="0" borderId="0" xfId="207" applyFont="1" applyBorder="1" applyAlignment="1" applyProtection="1">
      <alignment horizontal="center"/>
    </xf>
    <xf numFmtId="0" fontId="18" fillId="0" borderId="0" xfId="248" applyFont="1" applyAlignment="1" applyProtection="1">
      <alignment horizontal="center"/>
    </xf>
    <xf numFmtId="0" fontId="13" fillId="0" borderId="0" xfId="0" applyFont="1" applyBorder="1" applyProtection="1"/>
    <xf numFmtId="0" fontId="13" fillId="0" borderId="0" xfId="207" applyFont="1" applyFill="1" applyBorder="1" applyProtection="1"/>
    <xf numFmtId="0" fontId="13" fillId="0" borderId="0" xfId="207" applyFont="1" applyFill="1" applyBorder="1" applyAlignment="1" applyProtection="1">
      <alignment horizontal="center" wrapText="1"/>
    </xf>
    <xf numFmtId="0" fontId="10" fillId="0" borderId="0" xfId="207" applyFont="1" applyFill="1" applyBorder="1" applyAlignment="1" applyProtection="1">
      <alignment horizontal="left"/>
    </xf>
    <xf numFmtId="0" fontId="13" fillId="0" borderId="0" xfId="207" applyFont="1" applyFill="1" applyBorder="1" applyAlignment="1" applyProtection="1"/>
    <xf numFmtId="0" fontId="13" fillId="0" borderId="0" xfId="207" applyNumberFormat="1" applyFont="1" applyFill="1" applyBorder="1" applyAlignment="1" applyProtection="1">
      <alignment horizontal="center"/>
    </xf>
    <xf numFmtId="3" fontId="13" fillId="0" borderId="0" xfId="207" applyNumberFormat="1" applyFont="1" applyFill="1" applyBorder="1" applyAlignment="1" applyProtection="1"/>
    <xf numFmtId="0" fontId="10" fillId="0" borderId="0" xfId="207" applyNumberFormat="1" applyFont="1" applyFill="1" applyBorder="1" applyAlignment="1" applyProtection="1">
      <alignment horizontal="left"/>
    </xf>
    <xf numFmtId="173" fontId="0" fillId="0" borderId="0" xfId="86" applyNumberFormat="1" applyFont="1" applyFill="1" applyProtection="1"/>
    <xf numFmtId="173" fontId="13" fillId="0" borderId="0" xfId="89" applyNumberFormat="1" applyFont="1" applyFill="1" applyBorder="1" applyAlignment="1" applyProtection="1">
      <alignment horizontal="right"/>
    </xf>
    <xf numFmtId="0" fontId="13" fillId="0" borderId="0" xfId="207" applyNumberFormat="1" applyFont="1" applyFill="1" applyBorder="1" applyAlignment="1" applyProtection="1">
      <alignment horizontal="left"/>
    </xf>
    <xf numFmtId="0" fontId="13" fillId="0" borderId="0" xfId="207" applyFont="1" applyBorder="1" applyAlignment="1" applyProtection="1"/>
    <xf numFmtId="0" fontId="8" fillId="0" borderId="0" xfId="207" applyFont="1" applyFill="1" applyBorder="1" applyAlignment="1" applyProtection="1">
      <alignment horizontal="left"/>
    </xf>
    <xf numFmtId="0" fontId="3" fillId="0" borderId="0" xfId="0" applyFont="1" applyProtection="1"/>
    <xf numFmtId="173" fontId="9" fillId="30" borderId="0" xfId="89" applyNumberFormat="1" applyFont="1" applyFill="1" applyBorder="1" applyAlignment="1" applyProtection="1">
      <alignment horizontal="right"/>
      <protection locked="0"/>
    </xf>
    <xf numFmtId="49" fontId="6" fillId="0" borderId="0" xfId="248" applyNumberFormat="1" applyFont="1" applyAlignment="1" applyProtection="1">
      <alignment horizontal="center"/>
    </xf>
    <xf numFmtId="0" fontId="0" fillId="0" borderId="0" xfId="0" applyAlignment="1" applyProtection="1"/>
    <xf numFmtId="0" fontId="10" fillId="0" borderId="0" xfId="207" applyFont="1" applyBorder="1" applyAlignment="1" applyProtection="1">
      <alignment horizontal="center"/>
    </xf>
    <xf numFmtId="0" fontId="10" fillId="0" borderId="0" xfId="207" applyFont="1" applyFill="1" applyBorder="1" applyAlignment="1" applyProtection="1">
      <alignment horizontal="center"/>
    </xf>
    <xf numFmtId="0" fontId="10" fillId="0" borderId="0" xfId="207" applyFont="1" applyBorder="1" applyAlignment="1" applyProtection="1"/>
    <xf numFmtId="0" fontId="14" fillId="0" borderId="0" xfId="0" applyFont="1" applyBorder="1" applyProtection="1"/>
    <xf numFmtId="3" fontId="14" fillId="0" borderId="0" xfId="207" applyNumberFormat="1" applyFont="1" applyBorder="1" applyAlignment="1" applyProtection="1">
      <alignment horizontal="center"/>
    </xf>
    <xf numFmtId="0" fontId="10" fillId="0" borderId="0" xfId="207" applyNumberFormat="1" applyFont="1" applyFill="1" applyBorder="1" applyAlignment="1" applyProtection="1">
      <alignment horizontal="center"/>
    </xf>
    <xf numFmtId="0" fontId="18" fillId="0" borderId="0" xfId="207" applyFont="1" applyFill="1" applyBorder="1" applyAlignment="1" applyProtection="1">
      <alignment horizontal="center"/>
    </xf>
    <xf numFmtId="0" fontId="14" fillId="0" borderId="0" xfId="207" applyNumberFormat="1" applyFont="1" applyFill="1" applyBorder="1" applyAlignment="1" applyProtection="1">
      <alignment horizontal="left"/>
    </xf>
    <xf numFmtId="173" fontId="14" fillId="0" borderId="0" xfId="89" applyNumberFormat="1" applyFont="1" applyFill="1" applyBorder="1" applyAlignment="1" applyProtection="1">
      <alignment horizontal="right"/>
    </xf>
    <xf numFmtId="164" fontId="13" fillId="0" borderId="0" xfId="269" applyNumberFormat="1" applyFont="1" applyFill="1" applyBorder="1" applyAlignment="1" applyProtection="1"/>
    <xf numFmtId="173" fontId="13" fillId="0" borderId="0" xfId="89" applyNumberFormat="1" applyFont="1" applyFill="1" applyBorder="1" applyAlignment="1" applyProtection="1">
      <alignment horizontal="left"/>
    </xf>
    <xf numFmtId="0" fontId="9" fillId="0" borderId="0" xfId="207" applyFont="1" applyFill="1" applyBorder="1" applyAlignment="1" applyProtection="1"/>
    <xf numFmtId="0" fontId="88" fillId="0" borderId="0" xfId="0" applyFont="1" applyBorder="1" applyAlignment="1" applyProtection="1">
      <alignment horizontal="center"/>
    </xf>
    <xf numFmtId="38" fontId="13" fillId="0" borderId="0" xfId="0" applyNumberFormat="1" applyFont="1" applyFill="1" applyBorder="1" applyAlignment="1" applyProtection="1"/>
    <xf numFmtId="0" fontId="13" fillId="0" borderId="0" xfId="248" applyFont="1" applyProtection="1"/>
    <xf numFmtId="0" fontId="13" fillId="25" borderId="0" xfId="207" applyNumberFormat="1" applyFont="1" applyFill="1" applyBorder="1" applyAlignment="1" applyProtection="1">
      <alignment horizontal="center"/>
    </xf>
    <xf numFmtId="0" fontId="10" fillId="25" borderId="0" xfId="207" applyNumberFormat="1" applyFont="1" applyFill="1" applyBorder="1" applyAlignment="1" applyProtection="1">
      <alignment horizontal="left"/>
    </xf>
    <xf numFmtId="0" fontId="9" fillId="25" borderId="0" xfId="207" applyFont="1" applyFill="1" applyBorder="1" applyAlignment="1" applyProtection="1"/>
    <xf numFmtId="0" fontId="13" fillId="25" borderId="0" xfId="207" applyNumberFormat="1" applyFont="1" applyFill="1" applyBorder="1" applyAlignment="1" applyProtection="1">
      <alignment horizontal="left"/>
    </xf>
    <xf numFmtId="0" fontId="13" fillId="25" borderId="0" xfId="207" applyFont="1" applyFill="1" applyBorder="1" applyProtection="1"/>
    <xf numFmtId="173" fontId="13" fillId="25" borderId="0" xfId="89" applyNumberFormat="1" applyFont="1" applyFill="1" applyBorder="1" applyAlignment="1" applyProtection="1">
      <alignment horizontal="right"/>
    </xf>
    <xf numFmtId="0" fontId="0" fillId="25" borderId="0" xfId="0" applyFill="1" applyBorder="1" applyProtection="1"/>
    <xf numFmtId="164" fontId="13" fillId="25" borderId="0" xfId="269" applyNumberFormat="1" applyFont="1" applyFill="1" applyBorder="1" applyAlignment="1" applyProtection="1"/>
    <xf numFmtId="173" fontId="13" fillId="25" borderId="0" xfId="89" applyNumberFormat="1" applyFont="1" applyFill="1" applyBorder="1" applyAlignment="1" applyProtection="1">
      <alignment horizontal="left"/>
    </xf>
    <xf numFmtId="0" fontId="82" fillId="0" borderId="0" xfId="207" applyNumberFormat="1" applyFont="1" applyFill="1" applyBorder="1" applyAlignment="1" applyProtection="1">
      <alignment horizontal="left"/>
    </xf>
    <xf numFmtId="0" fontId="13" fillId="0" borderId="0" xfId="248" applyFont="1" applyFill="1" applyProtection="1"/>
    <xf numFmtId="9" fontId="10" fillId="0" borderId="0" xfId="248" quotePrefix="1" applyNumberFormat="1" applyFont="1" applyFill="1" applyAlignment="1" applyProtection="1">
      <alignment horizontal="center"/>
    </xf>
    <xf numFmtId="0" fontId="10" fillId="0" borderId="0" xfId="248" applyFont="1" applyFill="1" applyAlignment="1" applyProtection="1">
      <alignment horizontal="center"/>
    </xf>
    <xf numFmtId="0" fontId="70" fillId="0" borderId="0" xfId="248" applyFont="1" applyFill="1" applyAlignment="1" applyProtection="1">
      <alignment horizontal="center"/>
    </xf>
    <xf numFmtId="0" fontId="18" fillId="0" borderId="0" xfId="248" applyFont="1" applyFill="1" applyAlignment="1" applyProtection="1">
      <alignment horizontal="center"/>
    </xf>
    <xf numFmtId="0" fontId="87" fillId="0" borderId="0" xfId="248" applyFont="1" applyFill="1" applyAlignment="1" applyProtection="1">
      <alignment horizontal="center"/>
    </xf>
    <xf numFmtId="38" fontId="13" fillId="0" borderId="0" xfId="207" applyNumberFormat="1" applyFont="1" applyFill="1" applyBorder="1" applyAlignment="1" applyProtection="1">
      <alignment horizontal="right"/>
    </xf>
    <xf numFmtId="37" fontId="13" fillId="0" borderId="0" xfId="207" applyNumberFormat="1" applyFont="1" applyFill="1" applyBorder="1" applyAlignment="1" applyProtection="1">
      <alignment horizontal="right"/>
    </xf>
    <xf numFmtId="0" fontId="13" fillId="0" borderId="0" xfId="207" applyNumberFormat="1" applyFont="1" applyFill="1" applyBorder="1" applyAlignment="1" applyProtection="1">
      <alignment horizontal="right"/>
    </xf>
    <xf numFmtId="38" fontId="13" fillId="0" borderId="0" xfId="0" applyNumberFormat="1" applyFont="1" applyBorder="1" applyAlignment="1" applyProtection="1">
      <alignment horizontal="right"/>
    </xf>
    <xf numFmtId="38" fontId="9" fillId="0" borderId="0" xfId="207" applyNumberFormat="1" applyFont="1" applyFill="1" applyBorder="1" applyAlignment="1" applyProtection="1"/>
    <xf numFmtId="37" fontId="9" fillId="0" borderId="0" xfId="207" applyNumberFormat="1" applyFont="1" applyFill="1" applyBorder="1" applyAlignment="1" applyProtection="1"/>
    <xf numFmtId="0" fontId="10" fillId="0" borderId="0" xfId="207" applyFont="1" applyBorder="1" applyProtection="1"/>
    <xf numFmtId="173" fontId="9" fillId="0" borderId="14" xfId="86" applyNumberFormat="1" applyFont="1" applyFill="1" applyBorder="1" applyAlignment="1" applyProtection="1"/>
    <xf numFmtId="0" fontId="13" fillId="0" borderId="14" xfId="207" applyNumberFormat="1" applyFont="1" applyFill="1" applyBorder="1" applyAlignment="1" applyProtection="1">
      <alignment horizontal="left"/>
    </xf>
    <xf numFmtId="173" fontId="13" fillId="0" borderId="14" xfId="89" applyNumberFormat="1" applyFont="1" applyFill="1" applyBorder="1" applyAlignment="1" applyProtection="1">
      <alignment horizontal="right"/>
    </xf>
    <xf numFmtId="0" fontId="3" fillId="0" borderId="0" xfId="248" applyFill="1" applyAlignment="1" applyProtection="1">
      <alignment horizontal="left"/>
    </xf>
    <xf numFmtId="0" fontId="3" fillId="0" borderId="0" xfId="248" applyFill="1" applyProtection="1"/>
    <xf numFmtId="0" fontId="81" fillId="0" borderId="0" xfId="248" applyFont="1" applyFill="1" applyBorder="1" applyProtection="1"/>
    <xf numFmtId="173" fontId="3" fillId="0" borderId="0" xfId="86" applyNumberFormat="1" applyProtection="1"/>
    <xf numFmtId="173" fontId="3" fillId="0" borderId="0" xfId="86" applyNumberFormat="1" applyFill="1" applyProtection="1"/>
    <xf numFmtId="173" fontId="13" fillId="0" borderId="0" xfId="86" applyNumberFormat="1" applyFont="1" applyFill="1" applyProtection="1"/>
    <xf numFmtId="0" fontId="10" fillId="0" borderId="0" xfId="248" applyFont="1" applyFill="1" applyBorder="1" applyProtection="1"/>
    <xf numFmtId="38" fontId="13" fillId="0" borderId="17" xfId="0" applyNumberFormat="1" applyFont="1" applyFill="1" applyBorder="1" applyProtection="1"/>
    <xf numFmtId="37" fontId="13" fillId="0" borderId="17" xfId="0" applyNumberFormat="1" applyFont="1" applyFill="1" applyBorder="1" applyProtection="1"/>
    <xf numFmtId="0" fontId="153" fillId="0" borderId="0" xfId="207" applyFont="1" applyBorder="1" applyProtection="1"/>
    <xf numFmtId="38" fontId="13" fillId="0" borderId="0" xfId="0" applyNumberFormat="1" applyFont="1" applyFill="1" applyBorder="1" applyProtection="1"/>
    <xf numFmtId="0" fontId="33" fillId="0" borderId="0" xfId="248" applyFont="1" applyFill="1" applyAlignment="1" applyProtection="1">
      <alignment horizontal="left"/>
    </xf>
    <xf numFmtId="0" fontId="33" fillId="0" borderId="0" xfId="248" applyFont="1" applyFill="1" applyProtection="1"/>
    <xf numFmtId="0" fontId="97" fillId="0" borderId="0" xfId="248" applyFont="1" applyFill="1" applyAlignment="1" applyProtection="1">
      <alignment horizontal="center"/>
    </xf>
    <xf numFmtId="0" fontId="98" fillId="0" borderId="0" xfId="248" applyFont="1" applyFill="1" applyBorder="1" applyProtection="1"/>
    <xf numFmtId="37" fontId="9" fillId="30" borderId="0" xfId="0" applyNumberFormat="1" applyFont="1" applyFill="1" applyProtection="1">
      <protection locked="0"/>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Alignment="1" applyProtection="1">
      <alignment horizontal="center"/>
    </xf>
    <xf numFmtId="0" fontId="122" fillId="0" borderId="0" xfId="0" applyFont="1" applyAlignment="1" applyProtection="1">
      <alignment horizontal="center"/>
    </xf>
    <xf numFmtId="0" fontId="122" fillId="0" borderId="0" xfId="0" applyFont="1" applyAlignment="1" applyProtection="1">
      <alignment horizontal="left"/>
    </xf>
    <xf numFmtId="0" fontId="122"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10" fillId="0" borderId="0" xfId="255" applyFont="1" applyFill="1" applyAlignment="1" applyProtection="1"/>
    <xf numFmtId="0" fontId="121" fillId="0" borderId="0" xfId="0" applyFont="1" applyAlignment="1" applyProtection="1">
      <alignment horizontal="center"/>
    </xf>
    <xf numFmtId="174" fontId="13" fillId="0" borderId="0" xfId="86" applyNumberFormat="1" applyFont="1" applyFill="1" applyProtection="1"/>
    <xf numFmtId="174" fontId="0" fillId="0" borderId="0" xfId="0" applyNumberFormat="1" applyProtection="1"/>
    <xf numFmtId="43" fontId="9" fillId="30" borderId="0" xfId="0" applyNumberFormat="1" applyFont="1" applyFill="1" applyProtection="1">
      <protection locked="0"/>
    </xf>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260" applyFont="1" applyProtection="1"/>
    <xf numFmtId="0" fontId="4" fillId="0" borderId="0" xfId="260" applyFont="1" applyAlignment="1" applyProtection="1">
      <alignment horizontal="right"/>
    </xf>
    <xf numFmtId="0" fontId="11" fillId="0" borderId="0" xfId="260" applyFont="1" applyAlignment="1" applyProtection="1">
      <alignment horizontal="center"/>
    </xf>
    <xf numFmtId="0" fontId="27" fillId="0" borderId="0" xfId="0" applyFont="1" applyProtection="1"/>
    <xf numFmtId="0" fontId="6" fillId="0" borderId="0" xfId="260" applyFont="1" applyProtection="1"/>
    <xf numFmtId="0" fontId="83" fillId="0" borderId="0" xfId="260" applyFont="1" applyProtection="1"/>
    <xf numFmtId="0" fontId="27" fillId="0" borderId="0" xfId="0" applyFont="1" applyAlignment="1" applyProtection="1">
      <alignment horizontal="center"/>
    </xf>
    <xf numFmtId="0" fontId="11" fillId="0" borderId="0" xfId="260" applyFont="1" applyBorder="1" applyAlignment="1" applyProtection="1">
      <alignment horizontal="center"/>
    </xf>
    <xf numFmtId="0" fontId="4" fillId="0" borderId="0" xfId="0" applyFont="1" applyAlignment="1" applyProtection="1">
      <alignment horizontal="right"/>
    </xf>
    <xf numFmtId="0" fontId="7" fillId="0" borderId="0" xfId="260" applyFont="1" applyFill="1" applyProtection="1"/>
    <xf numFmtId="0" fontId="27" fillId="0" borderId="0" xfId="260" applyFont="1" applyAlignment="1" applyProtection="1">
      <alignment horizontal="center"/>
    </xf>
    <xf numFmtId="0" fontId="10" fillId="0" borderId="0" xfId="260" applyFont="1" applyFill="1" applyAlignment="1" applyProtection="1">
      <alignment horizontal="center"/>
    </xf>
    <xf numFmtId="0" fontId="10" fillId="0" borderId="0" xfId="260" applyFont="1" applyFill="1" applyProtection="1"/>
    <xf numFmtId="0" fontId="102" fillId="0" borderId="0" xfId="0" applyFont="1" applyProtection="1"/>
    <xf numFmtId="0" fontId="102" fillId="0" borderId="0" xfId="260" applyFont="1" applyProtection="1"/>
    <xf numFmtId="0" fontId="13" fillId="0" borderId="0" xfId="260" applyFont="1" applyProtection="1"/>
    <xf numFmtId="173" fontId="13" fillId="0" borderId="0" xfId="260" applyNumberFormat="1" applyFont="1" applyFill="1" applyProtection="1"/>
    <xf numFmtId="0" fontId="13" fillId="0" borderId="0" xfId="0" applyFont="1" applyAlignment="1" applyProtection="1">
      <alignment horizontal="center"/>
    </xf>
    <xf numFmtId="172" fontId="13" fillId="0" borderId="0" xfId="260" applyNumberFormat="1" applyFont="1" applyFill="1" applyAlignment="1" applyProtection="1">
      <alignment horizontal="center"/>
    </xf>
    <xf numFmtId="0" fontId="13" fillId="0" borderId="0" xfId="260" applyFont="1" applyFill="1" applyProtection="1"/>
    <xf numFmtId="0" fontId="10" fillId="0" borderId="0" xfId="260" applyFont="1" applyProtection="1"/>
    <xf numFmtId="43" fontId="13" fillId="0" borderId="0" xfId="112" applyFont="1" applyFill="1" applyProtection="1"/>
    <xf numFmtId="0" fontId="95" fillId="0" borderId="0" xfId="260" applyFont="1" applyProtection="1"/>
    <xf numFmtId="185" fontId="13" fillId="0" borderId="0" xfId="0" applyNumberFormat="1" applyFont="1" applyProtection="1"/>
    <xf numFmtId="173" fontId="13" fillId="0" borderId="0" xfId="260" applyNumberFormat="1" applyFont="1" applyProtection="1"/>
    <xf numFmtId="173" fontId="13" fillId="0" borderId="13" xfId="0" applyNumberFormat="1" applyFont="1" applyBorder="1" applyProtection="1"/>
    <xf numFmtId="173" fontId="13" fillId="0" borderId="0" xfId="260" applyNumberFormat="1" applyFont="1" applyBorder="1" applyProtection="1"/>
    <xf numFmtId="0" fontId="95" fillId="0" borderId="0" xfId="260" applyFont="1" applyFill="1" applyProtection="1"/>
    <xf numFmtId="173" fontId="13" fillId="0" borderId="13" xfId="260" applyNumberFormat="1" applyFont="1" applyBorder="1" applyProtection="1"/>
    <xf numFmtId="0" fontId="27" fillId="0" borderId="0" xfId="260" applyFont="1" applyProtection="1"/>
    <xf numFmtId="43" fontId="6" fillId="0" borderId="0" xfId="112" applyFont="1" applyFill="1" applyProtection="1"/>
    <xf numFmtId="173" fontId="6" fillId="0" borderId="0" xfId="260" applyNumberFormat="1" applyFont="1" applyProtection="1"/>
    <xf numFmtId="173" fontId="6" fillId="0" borderId="0" xfId="260" applyNumberFormat="1" applyFont="1" applyBorder="1" applyProtection="1"/>
    <xf numFmtId="0" fontId="10" fillId="0" borderId="0" xfId="0" applyFont="1" applyFill="1" applyBorder="1" applyAlignment="1" applyProtection="1">
      <alignment horizontal="center"/>
    </xf>
    <xf numFmtId="0" fontId="102" fillId="0" borderId="0" xfId="0" applyFont="1" applyFill="1" applyProtection="1"/>
    <xf numFmtId="0" fontId="7" fillId="0" borderId="0" xfId="0" applyFont="1" applyFill="1" applyBorder="1" applyAlignment="1" applyProtection="1">
      <alignment horizontal="center"/>
    </xf>
    <xf numFmtId="0" fontId="4" fillId="0" borderId="0" xfId="0" applyFont="1" applyFill="1" applyProtection="1"/>
    <xf numFmtId="173" fontId="9" fillId="30" borderId="0" xfId="112" applyNumberFormat="1" applyFont="1" applyFill="1" applyProtection="1">
      <protection locked="0"/>
    </xf>
    <xf numFmtId="41" fontId="20" fillId="30" borderId="0" xfId="248" applyNumberFormat="1" applyFont="1" applyFill="1" applyBorder="1" applyProtection="1">
      <protection locked="0"/>
    </xf>
    <xf numFmtId="3" fontId="20" fillId="30" borderId="0" xfId="0" applyNumberFormat="1" applyFont="1" applyFill="1" applyAlignment="1" applyProtection="1">
      <protection locked="0"/>
    </xf>
    <xf numFmtId="41" fontId="28" fillId="30" borderId="0" xfId="248" applyNumberFormat="1" applyFont="1" applyFill="1" applyBorder="1" applyProtection="1">
      <protection locked="0"/>
    </xf>
    <xf numFmtId="0" fontId="5" fillId="0" borderId="0" xfId="0" applyFont="1" applyProtection="1"/>
    <xf numFmtId="0" fontId="19" fillId="0" borderId="0" xfId="0" applyFont="1" applyProtection="1"/>
    <xf numFmtId="0" fontId="19" fillId="0" borderId="0" xfId="0" applyFont="1" applyAlignment="1" applyProtection="1">
      <alignment horizontal="right"/>
    </xf>
    <xf numFmtId="0" fontId="6" fillId="0" borderId="0" xfId="0" applyFont="1" applyAlignment="1" applyProtection="1">
      <alignment horizontal="center" wrapText="1"/>
    </xf>
    <xf numFmtId="0" fontId="6" fillId="0" borderId="0" xfId="0" applyFont="1" applyFill="1" applyAlignment="1" applyProtection="1"/>
    <xf numFmtId="37" fontId="6" fillId="0" borderId="0" xfId="0" applyNumberFormat="1" applyFont="1" applyFill="1" applyAlignment="1" applyProtection="1"/>
    <xf numFmtId="37" fontId="6" fillId="0" borderId="0" xfId="0" applyNumberFormat="1" applyFont="1" applyFill="1" applyAlignment="1" applyProtection="1">
      <alignment horizontal="center"/>
    </xf>
    <xf numFmtId="0" fontId="16" fillId="0" borderId="0" xfId="0" applyFont="1" applyFill="1" applyProtection="1"/>
    <xf numFmtId="0" fontId="0" fillId="0" borderId="0" xfId="0" applyFont="1" applyFill="1" applyAlignment="1" applyProtection="1">
      <alignment horizontal="center"/>
    </xf>
    <xf numFmtId="10" fontId="6" fillId="0" borderId="0" xfId="0" applyNumberFormat="1" applyFont="1" applyFill="1" applyBorder="1" applyAlignment="1" applyProtection="1"/>
    <xf numFmtId="176" fontId="6" fillId="0" borderId="0" xfId="0" applyNumberFormat="1" applyFont="1" applyFill="1" applyProtection="1"/>
    <xf numFmtId="10" fontId="6" fillId="0" borderId="14" xfId="0" applyNumberFormat="1" applyFont="1" applyFill="1" applyBorder="1" applyAlignment="1" applyProtection="1"/>
    <xf numFmtId="10" fontId="20" fillId="30" borderId="0" xfId="0" applyNumberFormat="1" applyFont="1" applyFill="1" applyBorder="1" applyAlignment="1" applyProtection="1">
      <protection locked="0"/>
    </xf>
    <xf numFmtId="10" fontId="20" fillId="30" borderId="11" xfId="0" applyNumberFormat="1" applyFont="1" applyFill="1" applyBorder="1" applyAlignment="1" applyProtection="1">
      <protection locked="0"/>
    </xf>
    <xf numFmtId="0" fontId="6" fillId="30" borderId="0" xfId="0" applyFont="1" applyFill="1" applyAlignment="1" applyProtection="1">
      <protection locked="0"/>
    </xf>
    <xf numFmtId="0" fontId="13" fillId="0" borderId="0" xfId="256" applyFont="1" applyProtection="1"/>
    <xf numFmtId="0" fontId="6" fillId="0" borderId="0" xfId="256" applyFont="1" applyProtection="1"/>
    <xf numFmtId="0" fontId="19" fillId="0" borderId="0" xfId="256" applyNumberFormat="1" applyFont="1" applyAlignment="1" applyProtection="1">
      <alignment horizontal="center"/>
    </xf>
    <xf numFmtId="0" fontId="19" fillId="0" borderId="0" xfId="256" applyNumberFormat="1" applyFont="1" applyProtection="1"/>
    <xf numFmtId="0" fontId="7" fillId="0" borderId="0" xfId="248" applyFont="1" applyFill="1" applyAlignment="1" applyProtection="1">
      <alignment horizontal="center"/>
    </xf>
    <xf numFmtId="0" fontId="13" fillId="0" borderId="0" xfId="256" applyNumberFormat="1" applyFont="1" applyProtection="1"/>
    <xf numFmtId="0" fontId="5" fillId="0" borderId="0" xfId="256" applyNumberFormat="1" applyFont="1" applyAlignment="1" applyProtection="1">
      <alignment horizontal="center"/>
    </xf>
    <xf numFmtId="0" fontId="5" fillId="0" borderId="0" xfId="256" applyNumberFormat="1" applyFont="1" applyProtection="1"/>
    <xf numFmtId="185" fontId="5" fillId="0" borderId="0" xfId="256" applyNumberFormat="1" applyFont="1" applyAlignment="1" applyProtection="1">
      <alignment horizontal="center"/>
    </xf>
    <xf numFmtId="0" fontId="75" fillId="0" borderId="0" xfId="256" applyFont="1" applyProtection="1"/>
    <xf numFmtId="0" fontId="10" fillId="0" borderId="0" xfId="256" applyFont="1" applyProtection="1"/>
    <xf numFmtId="0" fontId="5" fillId="0" borderId="11" xfId="256" applyNumberFormat="1" applyFont="1" applyBorder="1" applyAlignment="1" applyProtection="1">
      <alignment horizontal="center"/>
    </xf>
    <xf numFmtId="185" fontId="5" fillId="0" borderId="11" xfId="256" applyNumberFormat="1" applyFont="1" applyBorder="1" applyAlignment="1" applyProtection="1">
      <alignment horizontal="center"/>
    </xf>
    <xf numFmtId="0" fontId="75" fillId="0" borderId="11" xfId="256" applyFont="1" applyBorder="1" applyAlignment="1" applyProtection="1">
      <alignment horizontal="center"/>
    </xf>
    <xf numFmtId="0" fontId="10" fillId="0" borderId="0" xfId="256" applyFont="1" applyAlignment="1" applyProtection="1">
      <alignment horizontal="center"/>
    </xf>
    <xf numFmtId="0" fontId="19" fillId="0" borderId="0" xfId="256" applyNumberFormat="1" applyFont="1" applyBorder="1" applyAlignment="1" applyProtection="1">
      <alignment horizontal="center"/>
    </xf>
    <xf numFmtId="185" fontId="19" fillId="0" borderId="0" xfId="256" applyNumberFormat="1" applyFont="1" applyAlignment="1" applyProtection="1">
      <alignment horizontal="center"/>
    </xf>
    <xf numFmtId="0" fontId="72" fillId="0" borderId="0" xfId="256" applyFont="1" applyProtection="1"/>
    <xf numFmtId="185" fontId="73" fillId="0" borderId="0" xfId="256" applyNumberFormat="1" applyFont="1" applyProtection="1"/>
    <xf numFmtId="0" fontId="19" fillId="0" borderId="0" xfId="256" applyFont="1" applyProtection="1"/>
    <xf numFmtId="185" fontId="19" fillId="0" borderId="0" xfId="256" applyNumberFormat="1" applyFont="1" applyProtection="1"/>
    <xf numFmtId="0" fontId="74" fillId="0" borderId="0" xfId="256" applyFont="1" applyProtection="1"/>
    <xf numFmtId="173" fontId="72" fillId="0" borderId="0" xfId="256" applyNumberFormat="1" applyFont="1" applyBorder="1" applyProtection="1"/>
    <xf numFmtId="173" fontId="72" fillId="0" borderId="0" xfId="256" applyNumberFormat="1" applyFont="1" applyProtection="1"/>
    <xf numFmtId="173" fontId="72" fillId="0" borderId="0" xfId="256" applyNumberFormat="1" applyFont="1" applyFill="1" applyBorder="1" applyProtection="1"/>
    <xf numFmtId="0" fontId="72" fillId="0" borderId="0" xfId="256" applyFont="1" applyFill="1" applyBorder="1" applyProtection="1"/>
    <xf numFmtId="173" fontId="90" fillId="0" borderId="0" xfId="256" applyNumberFormat="1" applyFont="1" applyFill="1" applyBorder="1" applyProtection="1"/>
    <xf numFmtId="173" fontId="6" fillId="0" borderId="0" xfId="256" applyNumberFormat="1" applyFont="1" applyProtection="1"/>
    <xf numFmtId="173" fontId="77" fillId="0" borderId="0" xfId="256" applyNumberFormat="1" applyFont="1" applyProtection="1"/>
    <xf numFmtId="185" fontId="6" fillId="0" borderId="0" xfId="256" applyNumberFormat="1" applyFont="1" applyProtection="1"/>
    <xf numFmtId="173" fontId="77" fillId="0" borderId="0" xfId="86" applyNumberFormat="1" applyFont="1" applyProtection="1"/>
    <xf numFmtId="0" fontId="117" fillId="0" borderId="0" xfId="255" applyNumberFormat="1" applyFont="1" applyBorder="1" applyAlignment="1" applyProtection="1"/>
    <xf numFmtId="0" fontId="100" fillId="0" borderId="0" xfId="256" applyFont="1" applyFill="1" applyBorder="1" applyProtection="1"/>
    <xf numFmtId="0" fontId="100" fillId="0" borderId="0" xfId="256" applyFont="1" applyProtection="1"/>
    <xf numFmtId="173" fontId="118" fillId="0" borderId="0" xfId="256" applyNumberFormat="1" applyFont="1" applyProtection="1"/>
    <xf numFmtId="185" fontId="119" fillId="0" borderId="0" xfId="256" applyNumberFormat="1" applyFont="1" applyProtection="1"/>
    <xf numFmtId="173" fontId="118" fillId="0" borderId="0" xfId="86" applyNumberFormat="1" applyFont="1" applyProtection="1"/>
    <xf numFmtId="173" fontId="100" fillId="0" borderId="0" xfId="256" applyNumberFormat="1" applyFont="1" applyProtection="1"/>
    <xf numFmtId="0" fontId="72" fillId="0" borderId="0" xfId="256" applyFont="1" applyFill="1" applyProtection="1"/>
    <xf numFmtId="0" fontId="76" fillId="0" borderId="0" xfId="253" applyFont="1" applyFill="1" applyAlignment="1" applyProtection="1">
      <alignment horizontal="center"/>
    </xf>
    <xf numFmtId="0" fontId="76" fillId="0" borderId="0" xfId="253" applyFont="1" applyFill="1" applyAlignment="1" applyProtection="1">
      <alignment horizontal="left" indent="2"/>
    </xf>
    <xf numFmtId="39" fontId="76" fillId="0" borderId="0" xfId="253" applyNumberFormat="1" applyFont="1" applyFill="1" applyProtection="1"/>
    <xf numFmtId="173" fontId="72" fillId="0" borderId="0" xfId="256" applyNumberFormat="1" applyFont="1" applyFill="1" applyProtection="1"/>
    <xf numFmtId="43" fontId="72" fillId="0" borderId="0" xfId="86" applyFont="1" applyProtection="1"/>
    <xf numFmtId="43" fontId="77" fillId="0" borderId="0" xfId="86" applyFont="1" applyProtection="1"/>
    <xf numFmtId="173" fontId="6" fillId="0" borderId="0" xfId="86" applyNumberFormat="1" applyFont="1" applyProtection="1"/>
    <xf numFmtId="0" fontId="19" fillId="0" borderId="0" xfId="253" applyFont="1" applyFill="1" applyAlignment="1" applyProtection="1">
      <alignment horizontal="center"/>
    </xf>
    <xf numFmtId="173" fontId="72" fillId="0" borderId="14" xfId="86" applyNumberFormat="1" applyFont="1" applyBorder="1" applyProtection="1"/>
    <xf numFmtId="0" fontId="75" fillId="0" borderId="0" xfId="256" applyFont="1" applyAlignment="1" applyProtection="1">
      <alignment horizontal="center" wrapText="1"/>
    </xf>
    <xf numFmtId="0" fontId="80" fillId="0" borderId="0" xfId="256" applyFont="1" applyAlignment="1" applyProtection="1">
      <alignment horizontal="center"/>
    </xf>
    <xf numFmtId="0" fontId="19" fillId="0" borderId="0" xfId="256" applyNumberFormat="1" applyFont="1" applyFill="1" applyAlignment="1" applyProtection="1">
      <alignment horizontal="center"/>
    </xf>
    <xf numFmtId="0" fontId="13" fillId="0" borderId="0" xfId="256" applyNumberFormat="1" applyFont="1" applyFill="1" applyProtection="1"/>
    <xf numFmtId="0" fontId="100" fillId="0" borderId="0" xfId="256" applyFont="1" applyFill="1" applyProtection="1"/>
    <xf numFmtId="41" fontId="100" fillId="0" borderId="0" xfId="256" applyNumberFormat="1" applyFont="1" applyFill="1" applyProtection="1"/>
    <xf numFmtId="41" fontId="100" fillId="0" borderId="0" xfId="256" applyNumberFormat="1" applyFont="1" applyFill="1" applyBorder="1" applyProtection="1"/>
    <xf numFmtId="41" fontId="72" fillId="0" borderId="0" xfId="256" applyNumberFormat="1" applyFont="1" applyFill="1" applyProtection="1"/>
    <xf numFmtId="10" fontId="72" fillId="0" borderId="0" xfId="267" applyNumberFormat="1" applyFont="1" applyFill="1" applyProtection="1"/>
    <xf numFmtId="41" fontId="72" fillId="0" borderId="0" xfId="256" applyNumberFormat="1" applyFont="1" applyFill="1" applyBorder="1" applyProtection="1"/>
    <xf numFmtId="164" fontId="72" fillId="0" borderId="0" xfId="267" applyNumberFormat="1" applyFont="1" applyFill="1" applyProtection="1"/>
    <xf numFmtId="187" fontId="13" fillId="0" borderId="0" xfId="267" applyNumberFormat="1" applyFont="1" applyFill="1" applyProtection="1"/>
    <xf numFmtId="41" fontId="85" fillId="28" borderId="0" xfId="256" applyNumberFormat="1" applyFont="1" applyFill="1" applyProtection="1"/>
    <xf numFmtId="41" fontId="85" fillId="28" borderId="0" xfId="256" applyNumberFormat="1" applyFont="1" applyFill="1" applyBorder="1" applyProtection="1"/>
    <xf numFmtId="10" fontId="72" fillId="0" borderId="11" xfId="267" applyNumberFormat="1" applyFont="1" applyFill="1" applyBorder="1" applyProtection="1"/>
    <xf numFmtId="173" fontId="72" fillId="0" borderId="0" xfId="86" applyNumberFormat="1" applyFont="1" applyFill="1" applyProtection="1"/>
    <xf numFmtId="10" fontId="72" fillId="0" borderId="0" xfId="267" applyNumberFormat="1" applyFont="1" applyFill="1" applyBorder="1" applyProtection="1"/>
    <xf numFmtId="173" fontId="72" fillId="0" borderId="0" xfId="86" applyNumberFormat="1" applyFont="1" applyFill="1" applyBorder="1" applyProtection="1"/>
    <xf numFmtId="0" fontId="13" fillId="0" borderId="0" xfId="256" applyNumberFormat="1" applyFont="1" applyAlignment="1" applyProtection="1">
      <alignment horizontal="center"/>
    </xf>
    <xf numFmtId="185" fontId="13" fillId="0" borderId="0" xfId="256" applyNumberFormat="1" applyFont="1" applyProtection="1"/>
    <xf numFmtId="173" fontId="13" fillId="0" borderId="0" xfId="256" applyNumberFormat="1" applyFont="1" applyProtection="1"/>
    <xf numFmtId="173" fontId="72" fillId="0" borderId="18" xfId="86" applyNumberFormat="1" applyFont="1" applyFill="1" applyBorder="1" applyProtection="1"/>
    <xf numFmtId="0" fontId="75" fillId="30" borderId="0" xfId="256" applyFont="1" applyFill="1" applyProtection="1">
      <protection locked="0"/>
    </xf>
    <xf numFmtId="0" fontId="100" fillId="30" borderId="0" xfId="256" applyFont="1" applyFill="1" applyProtection="1">
      <protection locked="0"/>
    </xf>
    <xf numFmtId="0" fontId="72" fillId="30" borderId="0" xfId="256" applyFont="1" applyFill="1" applyProtection="1">
      <protection locked="0"/>
    </xf>
    <xf numFmtId="10" fontId="79" fillId="30" borderId="11" xfId="267" applyNumberFormat="1" applyFont="1" applyFill="1" applyBorder="1" applyProtection="1">
      <protection locked="0"/>
    </xf>
    <xf numFmtId="173" fontId="79" fillId="30" borderId="0" xfId="256" applyNumberFormat="1" applyFont="1" applyFill="1" applyBorder="1" applyProtection="1">
      <protection locked="0"/>
    </xf>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0" fillId="0" borderId="0" xfId="0" applyAlignment="1" applyProtection="1">
      <alignment wrapText="1"/>
    </xf>
    <xf numFmtId="0" fontId="7" fillId="0" borderId="0" xfId="0" applyFont="1" applyAlignment="1" applyProtection="1">
      <alignment horizontal="left"/>
    </xf>
    <xf numFmtId="0" fontId="13" fillId="0" borderId="0" xfId="255" applyNumberFormat="1" applyFont="1" applyBorder="1" applyAlignment="1" applyProtection="1"/>
    <xf numFmtId="3" fontId="13" fillId="0" borderId="0" xfId="255" applyNumberFormat="1" applyFont="1" applyAlignment="1" applyProtection="1"/>
    <xf numFmtId="10" fontId="3" fillId="0" borderId="0" xfId="267" applyNumberFormat="1" applyAlignment="1" applyProtection="1">
      <alignment horizontal="right"/>
    </xf>
    <xf numFmtId="172" fontId="13" fillId="0" borderId="0" xfId="255" applyFont="1" applyAlignment="1" applyProtection="1"/>
    <xf numFmtId="172" fontId="13" fillId="0" borderId="0" xfId="255" applyFont="1" applyBorder="1" applyAlignment="1" applyProtection="1"/>
    <xf numFmtId="3" fontId="13" fillId="0" borderId="0" xfId="255" applyNumberFormat="1" applyFont="1" applyFill="1" applyAlignment="1" applyProtection="1"/>
    <xf numFmtId="10" fontId="13" fillId="0" borderId="0" xfId="267" applyNumberFormat="1" applyFont="1" applyFill="1" applyAlignment="1" applyProtection="1">
      <alignment horizontal="right"/>
    </xf>
    <xf numFmtId="3" fontId="10" fillId="0" borderId="0" xfId="255" applyNumberFormat="1" applyFont="1" applyAlignment="1" applyProtection="1"/>
    <xf numFmtId="10" fontId="13" fillId="0" borderId="0" xfId="255" applyNumberFormat="1" applyFont="1" applyFill="1" applyAlignment="1" applyProtection="1">
      <alignment horizontal="right"/>
    </xf>
    <xf numFmtId="3" fontId="14" fillId="0" borderId="0" xfId="255" applyNumberFormat="1" applyFont="1" applyAlignment="1" applyProtection="1">
      <alignment horizontal="center"/>
    </xf>
    <xf numFmtId="10" fontId="14" fillId="0" borderId="0" xfId="255" applyNumberFormat="1" applyFont="1" applyFill="1" applyAlignment="1" applyProtection="1">
      <alignment horizontal="center"/>
    </xf>
    <xf numFmtId="0" fontId="13"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267" applyNumberFormat="1" applyFont="1" applyAlignment="1" applyProtection="1"/>
    <xf numFmtId="166" fontId="13" fillId="0" borderId="0" xfId="255" applyNumberFormat="1" applyFont="1" applyAlignment="1" applyProtection="1">
      <alignment horizontal="center"/>
    </xf>
    <xf numFmtId="166" fontId="13" fillId="0" borderId="0" xfId="255" applyNumberFormat="1" applyFont="1" applyBorder="1" applyAlignment="1" applyProtection="1">
      <alignment horizontal="center"/>
    </xf>
    <xf numFmtId="41" fontId="13" fillId="0" borderId="0" xfId="255" applyNumberFormat="1" applyFont="1" applyAlignment="1" applyProtection="1"/>
    <xf numFmtId="41" fontId="13" fillId="0" borderId="0" xfId="255" applyNumberFormat="1" applyFont="1" applyAlignment="1" applyProtection="1">
      <alignment horizontal="center"/>
    </xf>
    <xf numFmtId="41" fontId="13" fillId="0" borderId="0" xfId="255" applyNumberFormat="1" applyFont="1" applyBorder="1" applyAlignment="1" applyProtection="1">
      <alignment horizontal="center"/>
    </xf>
    <xf numFmtId="0" fontId="13" fillId="0" borderId="0" xfId="255" applyNumberFormat="1" applyFont="1" applyBorder="1" applyAlignment="1" applyProtection="1">
      <alignment horizontal="right"/>
    </xf>
    <xf numFmtId="164" fontId="14" fillId="0" borderId="0" xfId="267" applyNumberFormat="1" applyFont="1" applyAlignment="1" applyProtection="1"/>
    <xf numFmtId="3" fontId="13" fillId="0" borderId="0" xfId="255" applyNumberFormat="1" applyFont="1" applyAlignment="1" applyProtection="1">
      <alignment horizontal="right"/>
    </xf>
    <xf numFmtId="172" fontId="3" fillId="0" borderId="19" xfId="255" applyFont="1" applyBorder="1" applyAlignment="1" applyProtection="1"/>
    <xf numFmtId="0" fontId="3" fillId="0" borderId="0" xfId="255" applyNumberFormat="1" applyFont="1" applyBorder="1" applyAlignment="1" applyProtection="1">
      <alignment horizontal="center"/>
    </xf>
    <xf numFmtId="172" fontId="3" fillId="0" borderId="0" xfId="255" applyFont="1" applyBorder="1" applyAlignment="1" applyProtection="1"/>
    <xf numFmtId="3" fontId="3" fillId="0" borderId="20" xfId="255" applyNumberFormat="1" applyFont="1" applyBorder="1" applyAlignment="1" applyProtection="1"/>
    <xf numFmtId="10" fontId="13" fillId="0" borderId="0" xfId="255" applyNumberFormat="1" applyFont="1" applyFill="1" applyAlignment="1" applyProtection="1">
      <alignment horizontal="left"/>
    </xf>
    <xf numFmtId="41" fontId="13" fillId="0" borderId="0" xfId="255" applyNumberFormat="1" applyFont="1" applyBorder="1" applyAlignment="1" applyProtection="1"/>
    <xf numFmtId="0" fontId="3" fillId="0" borderId="19" xfId="0" applyFont="1" applyBorder="1" applyProtection="1"/>
    <xf numFmtId="0" fontId="3" fillId="0" borderId="0" xfId="0" applyFont="1" applyBorder="1" applyProtection="1"/>
    <xf numFmtId="0" fontId="3" fillId="0" borderId="20" xfId="0" applyFont="1" applyBorder="1" applyProtection="1"/>
    <xf numFmtId="41" fontId="13" fillId="0" borderId="0" xfId="255" applyNumberFormat="1" applyFont="1" applyFill="1" applyAlignment="1" applyProtection="1"/>
    <xf numFmtId="166" fontId="3" fillId="0" borderId="21" xfId="255" applyNumberFormat="1" applyFont="1" applyBorder="1" applyAlignment="1" applyProtection="1">
      <alignment horizontal="center"/>
    </xf>
    <xf numFmtId="0" fontId="3" fillId="0" borderId="6" xfId="255" applyNumberFormat="1" applyFont="1" applyBorder="1" applyAlignment="1" applyProtection="1">
      <alignment horizontal="center"/>
    </xf>
    <xf numFmtId="174" fontId="3" fillId="0" borderId="22" xfId="0" applyNumberFormat="1" applyFont="1" applyBorder="1" applyProtection="1"/>
    <xf numFmtId="41" fontId="3" fillId="0" borderId="0" xfId="255" applyNumberFormat="1" applyFont="1" applyBorder="1" applyAlignment="1" applyProtection="1"/>
    <xf numFmtId="173" fontId="3" fillId="0" borderId="0" xfId="255" applyNumberFormat="1" applyFont="1" applyBorder="1" applyAlignment="1" applyProtection="1">
      <alignment horizontal="center"/>
    </xf>
    <xf numFmtId="41" fontId="13" fillId="0" borderId="0" xfId="255" applyNumberFormat="1" applyFont="1" applyFill="1" applyAlignment="1" applyProtection="1">
      <alignment horizontal="left"/>
    </xf>
    <xf numFmtId="41" fontId="3" fillId="0" borderId="0" xfId="255" applyNumberFormat="1" applyFont="1" applyFill="1" applyBorder="1" applyAlignment="1" applyProtection="1">
      <alignment horizontal="right"/>
    </xf>
    <xf numFmtId="167" fontId="13" fillId="0" borderId="0" xfId="255" applyNumberFormat="1" applyFont="1" applyAlignment="1" applyProtection="1"/>
    <xf numFmtId="164" fontId="13" fillId="0" borderId="0" xfId="255" applyNumberFormat="1" applyFont="1" applyFill="1" applyBorder="1" applyAlignment="1" applyProtection="1">
      <alignment horizontal="left"/>
    </xf>
    <xf numFmtId="164" fontId="13" fillId="0" borderId="0" xfId="255" applyNumberFormat="1" applyFont="1" applyBorder="1" applyAlignment="1" applyProtection="1">
      <alignment horizontal="left"/>
    </xf>
    <xf numFmtId="3" fontId="13" fillId="0" borderId="0" xfId="255" applyNumberFormat="1" applyFont="1" applyAlignment="1" applyProtection="1">
      <alignment vertical="center" wrapText="1"/>
    </xf>
    <xf numFmtId="41" fontId="13" fillId="0" borderId="0" xfId="255" applyNumberFormat="1" applyFont="1" applyBorder="1" applyAlignment="1" applyProtection="1">
      <alignment vertical="center"/>
    </xf>
    <xf numFmtId="41" fontId="13" fillId="0" borderId="0" xfId="255" applyNumberFormat="1" applyFont="1" applyBorder="1" applyAlignment="1" applyProtection="1">
      <alignment horizontal="center" vertical="center"/>
    </xf>
    <xf numFmtId="41" fontId="13" fillId="0" borderId="0" xfId="255"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55" applyNumberFormat="1" applyFont="1" applyFill="1" applyBorder="1" applyAlignment="1" applyProtection="1"/>
    <xf numFmtId="41" fontId="13" fillId="0" borderId="6" xfId="255" applyNumberFormat="1" applyFont="1" applyFill="1" applyBorder="1" applyAlignment="1" applyProtection="1"/>
    <xf numFmtId="0" fontId="13" fillId="0" borderId="0" xfId="255" applyNumberFormat="1" applyFont="1" applyFill="1" applyBorder="1" applyAlignment="1" applyProtection="1"/>
    <xf numFmtId="3" fontId="13" fillId="0" borderId="0" xfId="255" applyNumberFormat="1" applyFont="1" applyFill="1" applyBorder="1" applyAlignment="1" applyProtection="1"/>
    <xf numFmtId="0" fontId="13" fillId="32" borderId="0" xfId="255" applyNumberFormat="1" applyFont="1" applyFill="1" applyBorder="1" applyAlignment="1" applyProtection="1"/>
    <xf numFmtId="41" fontId="13" fillId="0" borderId="0" xfId="255" applyNumberFormat="1" applyFont="1" applyFill="1" applyBorder="1" applyAlignment="1" applyProtection="1">
      <alignment horizontal="center"/>
    </xf>
    <xf numFmtId="0" fontId="13" fillId="0" borderId="0" xfId="255" applyNumberFormat="1" applyFont="1" applyFill="1" applyBorder="1" applyProtection="1"/>
    <xf numFmtId="41" fontId="14" fillId="0" borderId="0" xfId="255" applyNumberFormat="1" applyFont="1" applyFill="1" applyBorder="1" applyAlignment="1" applyProtection="1"/>
    <xf numFmtId="3" fontId="13" fillId="0" borderId="0" xfId="255" applyNumberFormat="1" applyFont="1" applyFill="1" applyBorder="1" applyAlignment="1" applyProtection="1">
      <alignment horizontal="center"/>
    </xf>
    <xf numFmtId="0" fontId="13" fillId="0" borderId="0" xfId="255" applyNumberFormat="1" applyFont="1" applyFill="1" applyBorder="1" applyAlignment="1" applyProtection="1">
      <alignment horizontal="center"/>
    </xf>
    <xf numFmtId="10" fontId="13" fillId="0" borderId="0" xfId="255" applyNumberFormat="1" applyFont="1" applyFill="1" applyBorder="1" applyAlignment="1" applyProtection="1"/>
    <xf numFmtId="169" fontId="13" fillId="0" borderId="0" xfId="255" applyNumberFormat="1" applyFont="1" applyFill="1" applyBorder="1" applyAlignment="1" applyProtection="1"/>
    <xf numFmtId="172" fontId="13" fillId="0" borderId="0" xfId="255" applyFont="1" applyFill="1" applyBorder="1" applyAlignment="1" applyProtection="1"/>
    <xf numFmtId="169" fontId="10" fillId="0" borderId="0" xfId="255" applyNumberFormat="1" applyFont="1" applyFill="1" applyBorder="1" applyAlignment="1" applyProtection="1"/>
    <xf numFmtId="0" fontId="13" fillId="0" borderId="0" xfId="0" applyFont="1" applyFill="1" applyBorder="1" applyAlignment="1" applyProtection="1">
      <alignment horizontal="center"/>
    </xf>
    <xf numFmtId="0" fontId="13" fillId="0" borderId="0" xfId="0" applyFont="1" applyFill="1" applyBorder="1" applyProtection="1"/>
    <xf numFmtId="41" fontId="13" fillId="0" borderId="0" xfId="0" applyNumberFormat="1" applyFont="1" applyFill="1" applyBorder="1" applyProtection="1"/>
    <xf numFmtId="41" fontId="14" fillId="0" borderId="0" xfId="0" applyNumberFormat="1" applyFont="1" applyProtection="1"/>
    <xf numFmtId="4" fontId="13" fillId="0" borderId="0" xfId="255" applyNumberFormat="1" applyFont="1" applyFill="1" applyBorder="1" applyAlignment="1" applyProtection="1"/>
    <xf numFmtId="10" fontId="14" fillId="0" borderId="0" xfId="0" applyNumberFormat="1" applyFont="1" applyProtection="1"/>
    <xf numFmtId="173" fontId="13" fillId="0" borderId="0" xfId="86" applyNumberFormat="1" applyFont="1" applyBorder="1" applyProtection="1"/>
    <xf numFmtId="43" fontId="13" fillId="0" borderId="0" xfId="86" applyFont="1" applyProtection="1"/>
    <xf numFmtId="43" fontId="13" fillId="0" borderId="0" xfId="86" applyFont="1" applyFill="1" applyProtection="1"/>
    <xf numFmtId="173" fontId="13" fillId="0" borderId="0" xfId="0" applyNumberFormat="1" applyFont="1" applyFill="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0" fontId="12" fillId="0" borderId="0" xfId="0" applyFont="1" applyProtection="1"/>
    <xf numFmtId="0" fontId="13" fillId="27" borderId="0" xfId="0" applyFont="1" applyFill="1" applyBorder="1" applyProtection="1"/>
    <xf numFmtId="0" fontId="7" fillId="0" borderId="0" xfId="0" applyFont="1" applyFill="1" applyProtection="1"/>
    <xf numFmtId="0" fontId="10" fillId="0" borderId="23" xfId="0" applyFont="1" applyBorder="1" applyProtection="1"/>
    <xf numFmtId="0" fontId="10" fillId="0" borderId="17" xfId="0" applyFont="1" applyBorder="1" applyProtection="1"/>
    <xf numFmtId="0" fontId="13" fillId="0" borderId="17" xfId="0" applyFont="1" applyBorder="1" applyProtection="1"/>
    <xf numFmtId="173" fontId="10" fillId="0" borderId="24" xfId="86" applyNumberFormat="1"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9" xfId="0" applyFont="1" applyBorder="1" applyProtection="1"/>
    <xf numFmtId="0" fontId="7" fillId="0" borderId="0" xfId="86" applyNumberFormat="1" applyFont="1" applyFill="1" applyBorder="1" applyAlignment="1" applyProtection="1">
      <alignment horizontal="left"/>
    </xf>
    <xf numFmtId="173" fontId="10" fillId="0" borderId="25" xfId="86" applyNumberFormat="1" applyFont="1" applyBorder="1" applyProtection="1"/>
    <xf numFmtId="0" fontId="10" fillId="0" borderId="0" xfId="0" applyFont="1" applyFill="1" applyProtection="1"/>
    <xf numFmtId="173" fontId="10" fillId="0" borderId="21" xfId="86" applyNumberFormat="1" applyFont="1" applyBorder="1" applyProtection="1"/>
    <xf numFmtId="173" fontId="13" fillId="0" borderId="6" xfId="86" applyNumberFormat="1" applyFont="1" applyBorder="1" applyProtection="1"/>
    <xf numFmtId="173" fontId="13" fillId="0" borderId="22"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13"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19" xfId="0" applyFont="1" applyFill="1" applyBorder="1" applyProtection="1"/>
    <xf numFmtId="0" fontId="13" fillId="0" borderId="0" xfId="0" applyFont="1" applyBorder="1" applyAlignment="1" applyProtection="1">
      <alignment horizontal="center"/>
    </xf>
    <xf numFmtId="0" fontId="10" fillId="0" borderId="24"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20" xfId="0" applyNumberFormat="1" applyFont="1" applyBorder="1" applyProtection="1"/>
    <xf numFmtId="10" fontId="13" fillId="0" borderId="0" xfId="0" applyNumberFormat="1" applyFont="1" applyFill="1" applyBorder="1" applyProtection="1"/>
    <xf numFmtId="173" fontId="13" fillId="0" borderId="20" xfId="0" applyNumberFormat="1" applyFont="1" applyFill="1" applyBorder="1" applyAlignment="1" applyProtection="1">
      <alignment horizontal="right"/>
    </xf>
    <xf numFmtId="10" fontId="13" fillId="0" borderId="0" xfId="0" applyNumberFormat="1" applyFont="1" applyBorder="1" applyProtection="1"/>
    <xf numFmtId="0" fontId="13" fillId="0" borderId="21"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9"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9" xfId="86" applyNumberFormat="1" applyFont="1" applyBorder="1" applyAlignment="1" applyProtection="1">
      <alignment horizontal="center" wrapText="1"/>
    </xf>
    <xf numFmtId="173" fontId="10" fillId="0" borderId="24" xfId="86" applyNumberFormat="1" applyFont="1" applyBorder="1" applyAlignment="1" applyProtection="1">
      <alignment horizontal="center" wrapText="1"/>
    </xf>
    <xf numFmtId="0" fontId="10" fillId="0" borderId="30" xfId="0" applyFont="1" applyBorder="1" applyAlignment="1" applyProtection="1">
      <alignment horizontal="center" wrapText="1"/>
    </xf>
    <xf numFmtId="173" fontId="10" fillId="29" borderId="29" xfId="86" applyNumberFormat="1" applyFont="1" applyFill="1" applyBorder="1" applyAlignment="1" applyProtection="1">
      <alignment horizontal="center" wrapText="1"/>
    </xf>
    <xf numFmtId="0" fontId="10" fillId="0" borderId="31" xfId="0" applyFont="1" applyBorder="1" applyAlignment="1" applyProtection="1">
      <alignment horizontal="center"/>
    </xf>
    <xf numFmtId="0" fontId="10" fillId="0" borderId="6" xfId="0" applyFont="1" applyBorder="1" applyAlignment="1" applyProtection="1">
      <alignment horizontal="center"/>
    </xf>
    <xf numFmtId="173" fontId="10" fillId="0" borderId="31" xfId="86" applyNumberFormat="1" applyFont="1" applyBorder="1" applyAlignment="1" applyProtection="1">
      <alignment horizontal="center"/>
    </xf>
    <xf numFmtId="173" fontId="10" fillId="0" borderId="22" xfId="86" applyNumberFormat="1" applyFont="1" applyBorder="1" applyAlignment="1" applyProtection="1">
      <alignment horizontal="center"/>
    </xf>
    <xf numFmtId="0" fontId="10" fillId="0" borderId="31" xfId="0" applyFont="1" applyFill="1" applyBorder="1" applyAlignment="1" applyProtection="1">
      <alignment horizontal="center"/>
    </xf>
    <xf numFmtId="0" fontId="10" fillId="0" borderId="30" xfId="0" applyFont="1" applyFill="1" applyBorder="1" applyAlignment="1" applyProtection="1">
      <alignment horizontal="center"/>
    </xf>
    <xf numFmtId="173" fontId="10" fillId="29" borderId="31" xfId="86" applyNumberFormat="1" applyFont="1" applyFill="1" applyBorder="1" applyAlignment="1" applyProtection="1">
      <alignment horizontal="center"/>
    </xf>
    <xf numFmtId="0" fontId="13" fillId="0" borderId="30" xfId="0" applyNumberFormat="1" applyFont="1" applyBorder="1" applyAlignment="1" applyProtection="1">
      <alignment horizontal="center"/>
    </xf>
    <xf numFmtId="173" fontId="13" fillId="0" borderId="30" xfId="0" applyNumberFormat="1" applyFont="1" applyBorder="1" applyProtection="1"/>
    <xf numFmtId="173" fontId="13" fillId="0" borderId="30" xfId="86" applyNumberFormat="1" applyFont="1" applyFill="1" applyBorder="1" applyProtection="1"/>
    <xf numFmtId="173" fontId="13" fillId="0" borderId="20" xfId="86" applyNumberFormat="1" applyFont="1" applyFill="1" applyBorder="1" applyProtection="1"/>
    <xf numFmtId="174" fontId="13" fillId="0" borderId="30" xfId="0" applyNumberFormat="1" applyFont="1" applyBorder="1" applyProtection="1"/>
    <xf numFmtId="174" fontId="13" fillId="29" borderId="29" xfId="0" applyNumberFormat="1" applyFont="1" applyFill="1" applyBorder="1" applyProtection="1"/>
    <xf numFmtId="173" fontId="13" fillId="0" borderId="30" xfId="86" applyNumberFormat="1" applyFont="1" applyBorder="1" applyProtection="1"/>
    <xf numFmtId="173" fontId="13" fillId="0" borderId="20" xfId="86" applyNumberFormat="1" applyFont="1" applyBorder="1" applyProtection="1"/>
    <xf numFmtId="174" fontId="13" fillId="29" borderId="30" xfId="0" applyNumberFormat="1" applyFont="1" applyFill="1" applyBorder="1" applyProtection="1"/>
    <xf numFmtId="174" fontId="13" fillId="29" borderId="30" xfId="0" applyNumberFormat="1" applyFont="1" applyFill="1" applyBorder="1" applyAlignment="1" applyProtection="1">
      <alignment wrapText="1"/>
    </xf>
    <xf numFmtId="0" fontId="13" fillId="0" borderId="31" xfId="0" applyNumberFormat="1" applyFont="1" applyBorder="1" applyAlignment="1" applyProtection="1">
      <alignment horizontal="center"/>
    </xf>
    <xf numFmtId="173" fontId="13" fillId="0" borderId="6" xfId="0" applyNumberFormat="1" applyFont="1" applyBorder="1" applyProtection="1"/>
    <xf numFmtId="173" fontId="13" fillId="0" borderId="31" xfId="0" applyNumberFormat="1" applyFont="1" applyBorder="1" applyProtection="1"/>
    <xf numFmtId="173" fontId="13" fillId="0" borderId="31" xfId="86" applyNumberFormat="1" applyFont="1" applyBorder="1" applyProtection="1"/>
    <xf numFmtId="174" fontId="13" fillId="0" borderId="31" xfId="0" applyNumberFormat="1" applyFont="1" applyBorder="1" applyProtection="1"/>
    <xf numFmtId="174" fontId="13" fillId="29" borderId="31" xfId="0" applyNumberFormat="1" applyFont="1" applyFill="1" applyBorder="1" applyProtection="1"/>
    <xf numFmtId="174" fontId="13" fillId="0" borderId="0" xfId="0" applyNumberFormat="1" applyFont="1" applyBorder="1" applyProtection="1"/>
    <xf numFmtId="0" fontId="9" fillId="30" borderId="0" xfId="86" applyNumberFormat="1" applyFont="1" applyFill="1" applyAlignment="1" applyProtection="1">
      <protection locked="0"/>
    </xf>
    <xf numFmtId="0" fontId="20" fillId="30" borderId="0" xfId="86" applyNumberFormat="1" applyFont="1" applyFill="1" applyAlignment="1" applyProtection="1">
      <alignment horizontal="left"/>
      <protection locked="0"/>
    </xf>
    <xf numFmtId="0" fontId="154" fillId="30" borderId="22" xfId="0" applyFont="1" applyFill="1" applyBorder="1" applyAlignment="1" applyProtection="1">
      <alignment horizontal="right"/>
      <protection locked="0"/>
    </xf>
    <xf numFmtId="173" fontId="154" fillId="30" borderId="20" xfId="86" applyNumberFormat="1" applyFont="1" applyFill="1" applyBorder="1" applyAlignment="1" applyProtection="1">
      <alignment horizontal="right"/>
      <protection locked="0"/>
    </xf>
    <xf numFmtId="0" fontId="154" fillId="30" borderId="20" xfId="0" applyFont="1" applyFill="1" applyBorder="1" applyAlignment="1" applyProtection="1">
      <alignment horizontal="right"/>
      <protection locked="0"/>
    </xf>
    <xf numFmtId="173" fontId="9" fillId="0" borderId="20" xfId="0" applyNumberFormat="1" applyFont="1" applyFill="1" applyBorder="1" applyAlignment="1" applyProtection="1">
      <alignment horizontal="right"/>
    </xf>
    <xf numFmtId="174" fontId="9" fillId="30" borderId="29" xfId="0" applyNumberFormat="1" applyFont="1" applyFill="1" applyBorder="1" applyProtection="1">
      <protection locked="0"/>
    </xf>
    <xf numFmtId="174" fontId="9" fillId="30" borderId="30" xfId="0" applyNumberFormat="1" applyFont="1" applyFill="1" applyBorder="1" applyProtection="1">
      <protection locked="0"/>
    </xf>
    <xf numFmtId="174" fontId="9"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3" fillId="0" borderId="23" xfId="255" applyFont="1" applyBorder="1" applyAlignment="1" applyProtection="1"/>
    <xf numFmtId="172" fontId="13" fillId="0" borderId="17" xfId="255" applyFont="1" applyBorder="1" applyAlignment="1" applyProtection="1"/>
    <xf numFmtId="3" fontId="13" fillId="0" borderId="24" xfId="255" applyNumberFormat="1" applyFont="1" applyBorder="1" applyAlignment="1" applyProtection="1"/>
    <xf numFmtId="172" fontId="13" fillId="0" borderId="19" xfId="255" applyFont="1" applyBorder="1" applyAlignment="1" applyProtection="1"/>
    <xf numFmtId="3" fontId="13" fillId="0" borderId="20" xfId="255" applyNumberFormat="1" applyFont="1" applyBorder="1" applyAlignment="1" applyProtection="1"/>
    <xf numFmtId="0" fontId="13" fillId="0" borderId="0" xfId="255" quotePrefix="1" applyNumberFormat="1" applyFont="1" applyBorder="1" applyAlignment="1" applyProtection="1">
      <alignment horizontal="center"/>
    </xf>
    <xf numFmtId="0" fontId="13" fillId="0" borderId="20" xfId="0" applyFont="1" applyBorder="1" applyProtection="1"/>
    <xf numFmtId="10" fontId="33" fillId="0" borderId="0" xfId="0" applyNumberFormat="1" applyFont="1" applyFill="1" applyAlignment="1" applyProtection="1">
      <alignment horizontal="center"/>
    </xf>
    <xf numFmtId="0" fontId="13" fillId="0" borderId="19" xfId="0" applyFont="1" applyBorder="1" applyProtection="1"/>
    <xf numFmtId="174" fontId="13" fillId="0" borderId="20" xfId="0" applyNumberFormat="1" applyFont="1" applyBorder="1" applyProtection="1"/>
    <xf numFmtId="174" fontId="13" fillId="0" borderId="22" xfId="0" applyNumberFormat="1" applyFont="1" applyBorder="1" applyProtection="1"/>
    <xf numFmtId="173" fontId="13" fillId="0" borderId="24" xfId="0" applyNumberFormat="1" applyFont="1" applyBorder="1" applyProtection="1"/>
    <xf numFmtId="166" fontId="13" fillId="0" borderId="21" xfId="255" applyNumberFormat="1" applyFont="1" applyBorder="1" applyAlignment="1" applyProtection="1">
      <alignment horizontal="center"/>
    </xf>
    <xf numFmtId="0" fontId="13" fillId="0" borderId="6" xfId="255" applyNumberFormat="1" applyFont="1" applyBorder="1" applyAlignment="1" applyProtection="1">
      <alignment horizontal="center"/>
    </xf>
    <xf numFmtId="173" fontId="13" fillId="0" borderId="6" xfId="255" quotePrefix="1" applyNumberFormat="1" applyFont="1" applyBorder="1" applyAlignment="1" applyProtection="1">
      <alignment horizontal="center"/>
    </xf>
    <xf numFmtId="41" fontId="13" fillId="0" borderId="0" xfId="255" applyNumberFormat="1" applyFont="1" applyFill="1" applyBorder="1" applyAlignment="1" applyProtection="1">
      <alignment horizontal="right"/>
    </xf>
    <xf numFmtId="41" fontId="13" fillId="0" borderId="11" xfId="255" applyNumberFormat="1" applyFont="1" applyFill="1" applyBorder="1" applyAlignment="1" applyProtection="1"/>
    <xf numFmtId="10" fontId="13" fillId="0" borderId="0" xfId="267" applyNumberFormat="1" applyFont="1" applyFill="1" applyBorder="1" applyAlignment="1" applyProtection="1"/>
    <xf numFmtId="173" fontId="13" fillId="0" borderId="0" xfId="86" applyNumberFormat="1" applyFont="1" applyFill="1" applyBorder="1" applyProtection="1"/>
    <xf numFmtId="182" fontId="13" fillId="0" borderId="0" xfId="86" applyNumberFormat="1" applyFont="1" applyProtection="1"/>
    <xf numFmtId="0" fontId="10" fillId="0" borderId="23" xfId="0" applyFont="1" applyFill="1" applyBorder="1" applyAlignment="1" applyProtection="1">
      <alignment horizontal="center"/>
    </xf>
    <xf numFmtId="173" fontId="13" fillId="0" borderId="19" xfId="86" applyNumberFormat="1" applyFont="1" applyBorder="1" applyProtection="1"/>
    <xf numFmtId="173" fontId="10" fillId="0" borderId="0" xfId="86" applyNumberFormat="1" applyFont="1" applyBorder="1" applyProtection="1"/>
    <xf numFmtId="173" fontId="13" fillId="0" borderId="20" xfId="0" applyNumberFormat="1" applyFont="1" applyBorder="1" applyProtection="1"/>
    <xf numFmtId="173" fontId="10" fillId="0" borderId="11" xfId="86" applyNumberFormat="1" applyFont="1" applyBorder="1" applyProtection="1"/>
    <xf numFmtId="173" fontId="13" fillId="0" borderId="25" xfId="0" applyNumberFormat="1" applyFont="1" applyBorder="1" applyProtection="1"/>
    <xf numFmtId="173" fontId="10" fillId="0" borderId="6" xfId="86" applyNumberFormat="1" applyFont="1" applyFill="1" applyBorder="1" applyAlignment="1" applyProtection="1">
      <alignment horizontal="left"/>
    </xf>
    <xf numFmtId="173" fontId="10" fillId="0" borderId="22" xfId="86" applyNumberFormat="1" applyFont="1" applyFill="1" applyBorder="1" applyAlignment="1" applyProtection="1">
      <alignment horizontal="left"/>
    </xf>
    <xf numFmtId="173" fontId="13" fillId="0" borderId="29" xfId="0" applyNumberFormat="1" applyFont="1" applyBorder="1" applyProtection="1"/>
    <xf numFmtId="174" fontId="13" fillId="0" borderId="29" xfId="0" applyNumberFormat="1" applyFont="1" applyBorder="1" applyProtection="1"/>
    <xf numFmtId="0" fontId="0" fillId="0" borderId="0" xfId="0" applyFill="1" applyAlignment="1" applyProtection="1">
      <alignment wrapText="1"/>
    </xf>
    <xf numFmtId="0" fontId="91" fillId="0" borderId="0" xfId="248" applyFont="1" applyFill="1" applyProtection="1"/>
    <xf numFmtId="0" fontId="10" fillId="0" borderId="0" xfId="248" applyFont="1" applyFill="1" applyProtection="1"/>
    <xf numFmtId="3" fontId="10" fillId="0" borderId="0" xfId="255" applyNumberFormat="1" applyFont="1" applyFill="1" applyAlignment="1" applyProtection="1"/>
    <xf numFmtId="0" fontId="3" fillId="0" borderId="0" xfId="248" applyFont="1" applyFill="1" applyProtection="1"/>
    <xf numFmtId="0" fontId="3" fillId="0" borderId="0" xfId="248" applyFont="1" applyFill="1" applyAlignment="1" applyProtection="1">
      <alignment horizontal="left"/>
    </xf>
    <xf numFmtId="0" fontId="13" fillId="0" borderId="0" xfId="248" applyFont="1" applyFill="1" applyAlignment="1" applyProtection="1">
      <alignment horizontal="left"/>
    </xf>
    <xf numFmtId="0" fontId="10" fillId="0" borderId="0" xfId="248" applyFont="1" applyFill="1" applyAlignment="1" applyProtection="1">
      <alignment horizontal="left"/>
    </xf>
    <xf numFmtId="173" fontId="9" fillId="30" borderId="0" xfId="86" applyNumberFormat="1" applyFont="1" applyFill="1" applyBorder="1" applyProtection="1">
      <protection locked="0"/>
    </xf>
    <xf numFmtId="10" fontId="9" fillId="30" borderId="0" xfId="267" applyNumberFormat="1" applyFont="1" applyFill="1" applyAlignment="1" applyProtection="1">
      <alignment horizontal="right" wrapText="1"/>
      <protection locked="0"/>
    </xf>
    <xf numFmtId="44" fontId="9" fillId="30" borderId="0" xfId="115" applyFont="1" applyFill="1" applyAlignment="1" applyProtection="1">
      <alignment horizontal="right" wrapText="1"/>
      <protection locked="0"/>
    </xf>
    <xf numFmtId="173" fontId="21" fillId="30" borderId="0" xfId="86" applyNumberFormat="1" applyFont="1" applyFill="1" applyProtection="1">
      <protection locked="0"/>
    </xf>
    <xf numFmtId="191" fontId="21" fillId="30" borderId="0" xfId="0" applyNumberFormat="1" applyFont="1" applyFill="1" applyProtection="1">
      <protection locked="0"/>
    </xf>
    <xf numFmtId="0" fontId="0" fillId="30" borderId="0" xfId="0" applyFill="1" applyAlignment="1" applyProtection="1">
      <alignment horizontal="center"/>
      <protection locked="0"/>
    </xf>
    <xf numFmtId="0" fontId="21" fillId="30" borderId="0" xfId="0" applyFont="1" applyFill="1" applyProtection="1">
      <protection locked="0"/>
    </xf>
    <xf numFmtId="0" fontId="103" fillId="0" borderId="0" xfId="258" applyFont="1" applyAlignment="1" applyProtection="1"/>
    <xf numFmtId="0" fontId="4" fillId="0" borderId="0" xfId="258" applyProtection="1"/>
    <xf numFmtId="0" fontId="104" fillId="0" borderId="0" xfId="258" applyFont="1" applyProtection="1"/>
    <xf numFmtId="0" fontId="105" fillId="0" borderId="0" xfId="258" applyFont="1" applyAlignment="1" applyProtection="1">
      <alignment horizontal="center"/>
    </xf>
    <xf numFmtId="0" fontId="114" fillId="0" borderId="0" xfId="258" applyFont="1" applyAlignment="1" applyProtection="1">
      <alignment horizontal="center"/>
    </xf>
    <xf numFmtId="0" fontId="4" fillId="0" borderId="0" xfId="258" applyFont="1" applyAlignment="1" applyProtection="1">
      <alignment horizontal="center"/>
    </xf>
    <xf numFmtId="0" fontId="106" fillId="0" borderId="15" xfId="258" applyFont="1" applyBorder="1" applyProtection="1"/>
    <xf numFmtId="0" fontId="104" fillId="0" borderId="15" xfId="258" applyFont="1" applyBorder="1" applyProtection="1"/>
    <xf numFmtId="0" fontId="106" fillId="0" borderId="0" xfId="258" applyFont="1" applyBorder="1" applyProtection="1"/>
    <xf numFmtId="0" fontId="104" fillId="0" borderId="0" xfId="258" applyFont="1" applyBorder="1" applyProtection="1"/>
    <xf numFmtId="0" fontId="4" fillId="0" borderId="0" xfId="258" applyFont="1" applyFill="1" applyBorder="1" applyAlignment="1" applyProtection="1">
      <alignment horizontal="left"/>
    </xf>
    <xf numFmtId="0" fontId="4" fillId="0" borderId="0" xfId="258" applyFill="1" applyProtection="1"/>
    <xf numFmtId="0" fontId="4" fillId="0" borderId="0" xfId="258" applyFont="1" applyFill="1" applyBorder="1" applyProtection="1"/>
    <xf numFmtId="192" fontId="4" fillId="0" borderId="0" xfId="258" applyNumberFormat="1" applyFill="1" applyProtection="1"/>
    <xf numFmtId="0" fontId="4" fillId="0" borderId="0" xfId="258" applyFont="1" applyFill="1" applyBorder="1" applyAlignment="1" applyProtection="1">
      <alignment wrapText="1"/>
    </xf>
    <xf numFmtId="0" fontId="0" fillId="0" borderId="0" xfId="0" applyFill="1" applyBorder="1" applyAlignment="1" applyProtection="1">
      <alignment wrapText="1"/>
    </xf>
    <xf numFmtId="0" fontId="107" fillId="0" borderId="32" xfId="258" applyFont="1" applyFill="1" applyBorder="1" applyProtection="1"/>
    <xf numFmtId="0" fontId="83" fillId="0" borderId="2" xfId="258" applyFont="1" applyFill="1" applyBorder="1" applyAlignment="1" applyProtection="1">
      <alignment horizontal="center"/>
    </xf>
    <xf numFmtId="0" fontId="83" fillId="0" borderId="33" xfId="258" applyFont="1" applyFill="1" applyBorder="1" applyAlignment="1" applyProtection="1">
      <alignment horizontal="center"/>
    </xf>
    <xf numFmtId="0" fontId="4" fillId="0" borderId="34" xfId="258" applyFont="1" applyFill="1" applyBorder="1" applyProtection="1"/>
    <xf numFmtId="3" fontId="4" fillId="0" borderId="0" xfId="258" applyNumberFormat="1" applyFont="1" applyFill="1" applyBorder="1" applyProtection="1"/>
    <xf numFmtId="3" fontId="4" fillId="0" borderId="35" xfId="258" applyNumberFormat="1" applyFill="1" applyBorder="1" applyProtection="1"/>
    <xf numFmtId="0" fontId="6" fillId="0" borderId="34" xfId="258" applyFont="1" applyFill="1" applyBorder="1" applyProtection="1"/>
    <xf numFmtId="0" fontId="4" fillId="0" borderId="36" xfId="258" applyFont="1" applyFill="1" applyBorder="1" applyProtection="1"/>
    <xf numFmtId="10" fontId="4" fillId="0" borderId="11" xfId="267" applyNumberFormat="1" applyFont="1" applyFill="1" applyBorder="1" applyAlignment="1" applyProtection="1">
      <alignment horizontal="center"/>
    </xf>
    <xf numFmtId="10" fontId="78" fillId="0" borderId="37" xfId="267" applyNumberFormat="1" applyFont="1" applyFill="1" applyBorder="1" applyAlignment="1" applyProtection="1">
      <alignment horizontal="center"/>
    </xf>
    <xf numFmtId="0" fontId="4" fillId="0" borderId="0" xfId="258" applyBorder="1" applyProtection="1"/>
    <xf numFmtId="0" fontId="4" fillId="0" borderId="0" xfId="258" applyFont="1" applyBorder="1" applyProtection="1"/>
    <xf numFmtId="0" fontId="13" fillId="0" borderId="0" xfId="262" applyFont="1" applyProtection="1"/>
    <xf numFmtId="0" fontId="10" fillId="0" borderId="0" xfId="262" applyFont="1" applyAlignment="1" applyProtection="1">
      <alignment horizontal="center" wrapText="1"/>
    </xf>
    <xf numFmtId="173" fontId="13" fillId="0" borderId="11" xfId="86" applyNumberFormat="1" applyFont="1" applyFill="1" applyBorder="1" applyAlignment="1" applyProtection="1"/>
    <xf numFmtId="173" fontId="13" fillId="0" borderId="0" xfId="86" applyNumberFormat="1" applyFont="1" applyFill="1" applyBorder="1" applyAlignment="1" applyProtection="1"/>
    <xf numFmtId="0" fontId="13" fillId="0" borderId="0" xfId="248" applyFont="1" applyFill="1" applyAlignment="1" applyProtection="1">
      <alignment horizontal="left" vertical="top" wrapText="1"/>
    </xf>
    <xf numFmtId="0" fontId="111" fillId="0" borderId="0" xfId="262" applyProtection="1"/>
    <xf numFmtId="0" fontId="10" fillId="0" borderId="0" xfId="262" applyFont="1" applyFill="1" applyProtection="1"/>
    <xf numFmtId="173" fontId="13" fillId="0" borderId="0" xfId="262" applyNumberFormat="1" applyFont="1" applyProtection="1"/>
    <xf numFmtId="0" fontId="13" fillId="0" borderId="0" xfId="262" applyFont="1" applyAlignment="1" applyProtection="1">
      <alignment vertical="top" wrapText="1"/>
    </xf>
    <xf numFmtId="10" fontId="13" fillId="0" borderId="0" xfId="262" applyNumberFormat="1" applyFont="1" applyProtection="1"/>
    <xf numFmtId="44" fontId="13" fillId="0" borderId="0" xfId="262" applyNumberFormat="1" applyFont="1" applyProtection="1"/>
    <xf numFmtId="0" fontId="115" fillId="0" borderId="0" xfId="262" applyFont="1" applyFill="1" applyProtection="1"/>
    <xf numFmtId="173" fontId="13" fillId="0" borderId="11" xfId="262" applyNumberFormat="1" applyFont="1" applyBorder="1" applyProtection="1"/>
    <xf numFmtId="10" fontId="13" fillId="0" borderId="0" xfId="267" applyNumberFormat="1" applyFont="1" applyProtection="1"/>
    <xf numFmtId="0" fontId="13" fillId="0" borderId="0" xfId="262" applyFont="1" applyFill="1" applyProtection="1"/>
    <xf numFmtId="10" fontId="13" fillId="0" borderId="0" xfId="267" applyNumberFormat="1" applyFont="1" applyFill="1" applyProtection="1"/>
    <xf numFmtId="10" fontId="13" fillId="32" borderId="0" xfId="267" applyNumberFormat="1" applyFont="1" applyFill="1" applyProtection="1"/>
    <xf numFmtId="10" fontId="13" fillId="0" borderId="11" xfId="267" applyNumberFormat="1" applyFont="1" applyBorder="1" applyProtection="1"/>
    <xf numFmtId="0" fontId="10" fillId="0" borderId="0" xfId="262" applyFont="1" applyProtection="1"/>
    <xf numFmtId="10" fontId="10" fillId="0" borderId="0" xfId="267" applyNumberFormat="1" applyFont="1" applyProtection="1"/>
    <xf numFmtId="173" fontId="13" fillId="0" borderId="11" xfId="86" applyNumberFormat="1" applyFont="1" applyFill="1" applyBorder="1" applyProtection="1"/>
    <xf numFmtId="0" fontId="116" fillId="0" borderId="0" xfId="262" applyFont="1" applyFill="1" applyProtection="1"/>
    <xf numFmtId="0" fontId="13" fillId="0" borderId="0" xfId="248" applyFont="1" applyFill="1" applyBorder="1" applyAlignment="1" applyProtection="1">
      <alignment horizontal="left"/>
    </xf>
    <xf numFmtId="0" fontId="95" fillId="0" borderId="0" xfId="262" applyFont="1" applyFill="1" applyProtection="1"/>
    <xf numFmtId="173" fontId="13" fillId="0" borderId="0" xfId="262" applyNumberFormat="1" applyFont="1" applyFill="1" applyProtection="1"/>
    <xf numFmtId="0" fontId="13" fillId="0" borderId="0" xfId="262" applyFont="1" applyFill="1" applyAlignment="1" applyProtection="1">
      <alignment vertical="top" wrapText="1"/>
    </xf>
    <xf numFmtId="43" fontId="13" fillId="0" borderId="0" xfId="262" applyNumberFormat="1" applyFont="1" applyProtection="1"/>
    <xf numFmtId="10" fontId="13" fillId="0" borderId="11" xfId="267" applyNumberFormat="1" applyFont="1" applyFill="1" applyBorder="1" applyProtection="1"/>
    <xf numFmtId="10" fontId="95" fillId="0" borderId="0" xfId="267" applyNumberFormat="1" applyFont="1" applyFill="1" applyProtection="1"/>
    <xf numFmtId="10" fontId="13" fillId="30" borderId="0" xfId="267" applyNumberFormat="1" applyFont="1" applyFill="1" applyAlignment="1" applyProtection="1">
      <alignment horizontal="right" wrapText="1"/>
      <protection locked="0"/>
    </xf>
    <xf numFmtId="164" fontId="9" fillId="30" borderId="0" xfId="267" applyNumberFormat="1" applyFont="1" applyFill="1" applyAlignment="1" applyProtection="1">
      <alignment horizontal="right" wrapText="1"/>
      <protection locked="0"/>
    </xf>
    <xf numFmtId="44" fontId="13" fillId="30" borderId="0" xfId="115" applyFont="1" applyFill="1" applyAlignment="1" applyProtection="1">
      <alignment horizontal="right" wrapText="1"/>
      <protection locked="0"/>
    </xf>
    <xf numFmtId="173" fontId="13" fillId="30" borderId="0" xfId="86" applyNumberFormat="1" applyFont="1" applyFill="1" applyProtection="1">
      <protection locked="0"/>
    </xf>
    <xf numFmtId="170" fontId="123" fillId="30" borderId="31" xfId="0" applyNumberFormat="1" applyFont="1" applyFill="1" applyBorder="1" applyAlignment="1" applyProtection="1">
      <alignment horizontal="center"/>
      <protection locked="0"/>
    </xf>
    <xf numFmtId="0" fontId="123" fillId="0" borderId="0" xfId="0" applyFont="1" applyFill="1" applyAlignment="1" applyProtection="1">
      <alignment horizontal="left"/>
    </xf>
    <xf numFmtId="0" fontId="123" fillId="0" borderId="0" xfId="0" applyFont="1" applyFill="1" applyProtection="1"/>
    <xf numFmtId="0" fontId="123" fillId="0" borderId="29" xfId="0" applyFont="1" applyFill="1" applyBorder="1" applyAlignment="1" applyProtection="1">
      <alignment horizontal="center" wrapText="1"/>
    </xf>
    <xf numFmtId="0" fontId="123" fillId="0" borderId="30" xfId="0" applyFont="1" applyFill="1" applyBorder="1" applyAlignment="1" applyProtection="1">
      <alignment horizontal="center" wrapText="1"/>
    </xf>
    <xf numFmtId="0" fontId="123" fillId="0" borderId="30"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6" fillId="0" borderId="0" xfId="0" applyNumberFormat="1" applyFont="1" applyFill="1" applyProtection="1"/>
    <xf numFmtId="5" fontId="123" fillId="0" borderId="31"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6"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268"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88" applyNumberFormat="1" applyFont="1" applyFill="1" applyProtection="1"/>
    <xf numFmtId="176" fontId="123" fillId="0" borderId="0" xfId="0" applyNumberFormat="1" applyFont="1" applyFill="1" applyProtection="1"/>
    <xf numFmtId="173" fontId="123" fillId="0" borderId="11" xfId="88" applyNumberFormat="1" applyFont="1" applyFill="1" applyBorder="1" applyProtection="1"/>
    <xf numFmtId="173" fontId="124" fillId="0" borderId="0" xfId="88" applyNumberFormat="1" applyFont="1" applyFill="1" applyProtection="1"/>
    <xf numFmtId="173" fontId="124" fillId="0" borderId="0" xfId="8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4" fontId="6" fillId="0" borderId="0" xfId="0" applyNumberFormat="1" applyFont="1" applyFill="1" applyProtection="1"/>
    <xf numFmtId="173" fontId="6" fillId="0" borderId="0" xfId="88" applyNumberFormat="1" applyFont="1" applyFill="1" applyProtection="1"/>
    <xf numFmtId="173" fontId="6" fillId="0" borderId="0" xfId="116" applyNumberFormat="1" applyFont="1" applyFill="1" applyProtection="1"/>
    <xf numFmtId="176" fontId="123" fillId="30" borderId="0" xfId="268" applyNumberFormat="1" applyFont="1" applyFill="1" applyProtection="1">
      <protection locked="0"/>
    </xf>
    <xf numFmtId="0" fontId="13" fillId="32" borderId="0" xfId="0" applyFont="1" applyFill="1" applyProtection="1"/>
    <xf numFmtId="173" fontId="3" fillId="30" borderId="6" xfId="255" applyNumberFormat="1" applyFont="1" applyFill="1" applyBorder="1" applyAlignment="1" applyProtection="1">
      <alignment horizontal="center"/>
      <protection locked="0"/>
    </xf>
    <xf numFmtId="174" fontId="154" fillId="30" borderId="0" xfId="0" applyNumberFormat="1" applyFont="1" applyFill="1" applyBorder="1" applyProtection="1">
      <protection locked="0"/>
    </xf>
    <xf numFmtId="174" fontId="13" fillId="30" borderId="6" xfId="0" applyNumberFormat="1" applyFont="1" applyFill="1" applyBorder="1" applyProtection="1">
      <protection locked="0"/>
    </xf>
    <xf numFmtId="3" fontId="6" fillId="32" borderId="0" xfId="255" applyNumberFormat="1" applyFont="1" applyFill="1" applyBorder="1" applyAlignment="1" applyProtection="1"/>
    <xf numFmtId="41" fontId="13" fillId="32" borderId="0" xfId="255" applyNumberFormat="1" applyFont="1" applyFill="1" applyBorder="1" applyAlignment="1" applyProtection="1"/>
    <xf numFmtId="41" fontId="13" fillId="32" borderId="0" xfId="255" applyNumberFormat="1" applyFont="1" applyFill="1" applyBorder="1" applyAlignment="1" applyProtection="1">
      <alignment horizontal="center"/>
    </xf>
    <xf numFmtId="41" fontId="13" fillId="32" borderId="0" xfId="0" applyNumberFormat="1" applyFont="1" applyFill="1" applyBorder="1" applyProtection="1"/>
    <xf numFmtId="41" fontId="13" fillId="32" borderId="0" xfId="0" applyNumberFormat="1" applyFont="1" applyFill="1" applyProtection="1"/>
    <xf numFmtId="173" fontId="13" fillId="32" borderId="0" xfId="86" applyNumberFormat="1" applyFont="1" applyFill="1" applyProtection="1"/>
    <xf numFmtId="10" fontId="13" fillId="32" borderId="0" xfId="0" applyNumberFormat="1" applyFont="1" applyFill="1" applyProtection="1"/>
    <xf numFmtId="10" fontId="14" fillId="32" borderId="0" xfId="0" applyNumberFormat="1" applyFont="1" applyFill="1" applyProtection="1"/>
    <xf numFmtId="3" fontId="6" fillId="30" borderId="0" xfId="0" applyNumberFormat="1" applyFont="1" applyFill="1" applyAlignment="1" applyProtection="1">
      <alignment horizontal="center"/>
      <protection locked="0"/>
    </xf>
    <xf numFmtId="0" fontId="16" fillId="30" borderId="0" xfId="248" applyFont="1" applyFill="1" applyAlignment="1" applyProtection="1">
      <alignment horizontal="left"/>
      <protection locked="0"/>
    </xf>
    <xf numFmtId="0" fontId="16" fillId="30" borderId="0" xfId="248" applyFont="1" applyFill="1" applyProtection="1">
      <protection locked="0"/>
    </xf>
    <xf numFmtId="0" fontId="11" fillId="30" borderId="0" xfId="248" applyFont="1" applyFill="1" applyAlignment="1" applyProtection="1">
      <alignment horizontal="center"/>
      <protection locked="0"/>
    </xf>
    <xf numFmtId="3" fontId="126" fillId="30" borderId="0" xfId="0" applyNumberFormat="1" applyFont="1" applyFill="1" applyProtection="1">
      <protection locked="0"/>
    </xf>
    <xf numFmtId="41" fontId="126" fillId="30" borderId="0" xfId="248" applyNumberFormat="1" applyFont="1" applyFill="1" applyProtection="1">
      <protection locked="0"/>
    </xf>
    <xf numFmtId="0" fontId="64" fillId="0" borderId="0" xfId="248" applyFont="1" applyAlignment="1">
      <alignment horizontal="center"/>
    </xf>
    <xf numFmtId="0" fontId="64" fillId="0" borderId="0" xfId="248" applyFont="1"/>
    <xf numFmtId="41" fontId="64" fillId="0" borderId="0" xfId="248" applyNumberFormat="1" applyFont="1"/>
    <xf numFmtId="41" fontId="126" fillId="30" borderId="11" xfId="248" applyNumberFormat="1" applyFont="1" applyFill="1" applyBorder="1" applyProtection="1">
      <protection locked="0"/>
    </xf>
    <xf numFmtId="0" fontId="64" fillId="0" borderId="0" xfId="248" applyFont="1" applyFill="1"/>
    <xf numFmtId="0" fontId="64" fillId="0" borderId="0" xfId="0" applyFont="1"/>
    <xf numFmtId="173" fontId="64" fillId="0" borderId="0" xfId="86" applyNumberFormat="1" applyFont="1" applyFill="1"/>
    <xf numFmtId="173" fontId="127" fillId="0" borderId="0" xfId="86" applyNumberFormat="1" applyFont="1" applyFill="1"/>
    <xf numFmtId="41" fontId="64" fillId="0" borderId="0" xfId="248" applyNumberFormat="1" applyFont="1" applyFill="1"/>
    <xf numFmtId="38" fontId="64" fillId="0" borderId="0" xfId="0" applyNumberFormat="1" applyFont="1" applyFill="1" applyBorder="1" applyAlignment="1"/>
    <xf numFmtId="0" fontId="64" fillId="0" borderId="0" xfId="207" applyFont="1" applyFill="1" applyBorder="1" applyAlignment="1">
      <alignment horizontal="center"/>
    </xf>
    <xf numFmtId="0" fontId="64" fillId="0" borderId="0" xfId="207" applyFont="1" applyFill="1" applyBorder="1"/>
    <xf numFmtId="0" fontId="64" fillId="0" borderId="0" xfId="248" applyFont="1" applyAlignment="1">
      <alignment horizontal="left"/>
    </xf>
    <xf numFmtId="3" fontId="64" fillId="0" borderId="0" xfId="207" applyNumberFormat="1" applyFont="1" applyFill="1" applyBorder="1" applyAlignment="1"/>
    <xf numFmtId="38" fontId="64" fillId="0" borderId="0" xfId="0" applyNumberFormat="1" applyFont="1" applyFill="1" applyBorder="1" applyAlignment="1">
      <alignment horizontal="center"/>
    </xf>
    <xf numFmtId="0" fontId="128" fillId="0" borderId="0" xfId="248" applyFont="1" applyAlignment="1">
      <alignment horizontal="center"/>
    </xf>
    <xf numFmtId="0" fontId="41" fillId="0" borderId="0" xfId="248" applyFont="1" applyFill="1" applyAlignment="1">
      <alignment horizontal="center"/>
    </xf>
    <xf numFmtId="9" fontId="41" fillId="0" borderId="0" xfId="248" applyNumberFormat="1" applyFont="1" applyFill="1" applyAlignment="1">
      <alignment horizontal="center"/>
    </xf>
    <xf numFmtId="0" fontId="41" fillId="0" borderId="0" xfId="248" applyFont="1" applyFill="1" applyBorder="1"/>
    <xf numFmtId="0" fontId="41" fillId="0" borderId="0" xfId="248" applyFont="1" applyAlignment="1">
      <alignment horizontal="center" wrapText="1"/>
    </xf>
    <xf numFmtId="0" fontId="128" fillId="0" borderId="0" xfId="248" applyFont="1" applyAlignment="1">
      <alignment horizontal="right"/>
    </xf>
    <xf numFmtId="0" fontId="64" fillId="0" borderId="0" xfId="0" applyFont="1" applyAlignment="1">
      <alignment horizontal="center" wrapText="1"/>
    </xf>
    <xf numFmtId="0" fontId="41" fillId="0" borderId="11" xfId="248" applyFont="1" applyBorder="1" applyAlignment="1">
      <alignment horizontal="center"/>
    </xf>
    <xf numFmtId="173" fontId="13" fillId="0" borderId="30" xfId="98" applyNumberFormat="1" applyFont="1" applyFill="1" applyBorder="1" applyProtection="1"/>
    <xf numFmtId="173" fontId="13" fillId="0" borderId="20" xfId="98" applyNumberFormat="1" applyFont="1" applyFill="1" applyBorder="1" applyProtection="1"/>
    <xf numFmtId="0" fontId="13" fillId="0" borderId="0" xfId="0" applyFont="1" applyAlignment="1" applyProtection="1">
      <alignment vertical="top" wrapText="1"/>
    </xf>
    <xf numFmtId="0" fontId="10" fillId="0" borderId="0" xfId="261" applyFont="1" applyFill="1" applyAlignment="1" applyProtection="1">
      <alignment horizontal="center"/>
    </xf>
    <xf numFmtId="43" fontId="13" fillId="0" borderId="0" xfId="113" applyFont="1" applyFill="1" applyProtection="1"/>
    <xf numFmtId="173" fontId="9" fillId="30" borderId="0" xfId="113" applyNumberFormat="1" applyFont="1" applyFill="1" applyProtection="1">
      <protection locked="0"/>
    </xf>
    <xf numFmtId="173" fontId="13" fillId="0" borderId="0" xfId="261" applyNumberFormat="1" applyFont="1" applyFill="1" applyProtection="1"/>
    <xf numFmtId="0" fontId="131" fillId="0" borderId="0" xfId="0" applyFont="1" applyAlignment="1">
      <alignment vertical="center"/>
    </xf>
    <xf numFmtId="0" fontId="72" fillId="0" borderId="11" xfId="256" applyFont="1" applyBorder="1" applyAlignment="1">
      <alignment horizontal="center"/>
    </xf>
    <xf numFmtId="173" fontId="79" fillId="30" borderId="11" xfId="256" applyNumberFormat="1" applyFont="1" applyFill="1" applyBorder="1" applyProtection="1">
      <protection locked="0"/>
    </xf>
    <xf numFmtId="173" fontId="79" fillId="0" borderId="11" xfId="256" applyNumberFormat="1" applyFont="1" applyFill="1" applyBorder="1"/>
    <xf numFmtId="0" fontId="72" fillId="0" borderId="11" xfId="256" applyFont="1" applyBorder="1"/>
    <xf numFmtId="0" fontId="13" fillId="0" borderId="11" xfId="256" applyFont="1" applyBorder="1"/>
    <xf numFmtId="0" fontId="19" fillId="0" borderId="11" xfId="256" applyFont="1" applyFill="1" applyBorder="1"/>
    <xf numFmtId="173" fontId="90" fillId="0" borderId="11" xfId="256" applyNumberFormat="1" applyFont="1" applyFill="1" applyBorder="1"/>
    <xf numFmtId="173" fontId="72" fillId="0" borderId="0" xfId="256" applyNumberFormat="1" applyFont="1" applyFill="1" applyBorder="1" applyProtection="1">
      <protection locked="0"/>
    </xf>
    <xf numFmtId="9" fontId="79" fillId="30" borderId="0" xfId="267" applyFont="1" applyFill="1" applyBorder="1" applyProtection="1">
      <protection locked="0"/>
    </xf>
    <xf numFmtId="173" fontId="79" fillId="30" borderId="0" xfId="256" applyNumberFormat="1" applyFont="1" applyFill="1" applyBorder="1" applyAlignment="1" applyProtection="1">
      <alignment horizontal="center"/>
      <protection locked="0"/>
    </xf>
    <xf numFmtId="0" fontId="13" fillId="0" borderId="0" xfId="162"/>
    <xf numFmtId="0" fontId="13" fillId="0" borderId="0" xfId="162" applyAlignment="1">
      <alignment horizontal="center"/>
    </xf>
    <xf numFmtId="0" fontId="13" fillId="0" borderId="0" xfId="162" applyFont="1" applyFill="1" applyAlignment="1">
      <alignment horizontal="center"/>
    </xf>
    <xf numFmtId="0" fontId="13" fillId="0" borderId="0" xfId="162" applyFont="1" applyAlignment="1">
      <alignment horizontal="center"/>
    </xf>
    <xf numFmtId="0" fontId="13" fillId="0" borderId="0" xfId="162" applyFont="1" applyAlignment="1"/>
    <xf numFmtId="0" fontId="13" fillId="0" borderId="0" xfId="162" applyFill="1" applyAlignment="1"/>
    <xf numFmtId="0" fontId="13" fillId="0" borderId="0" xfId="162" applyProtection="1"/>
    <xf numFmtId="41" fontId="9" fillId="30" borderId="0" xfId="249" applyNumberFormat="1" applyFont="1" applyFill="1" applyProtection="1">
      <protection locked="0"/>
    </xf>
    <xf numFmtId="0" fontId="13" fillId="0" borderId="0" xfId="162" applyFont="1" applyFill="1" applyAlignment="1"/>
    <xf numFmtId="0" fontId="13" fillId="0" borderId="0" xfId="162" applyFill="1" applyAlignment="1">
      <alignment horizontal="center"/>
    </xf>
    <xf numFmtId="0" fontId="10" fillId="0" borderId="0" xfId="162" applyFont="1" applyFill="1" applyAlignment="1">
      <alignment horizontal="left"/>
    </xf>
    <xf numFmtId="3" fontId="13" fillId="0" borderId="0" xfId="162" applyNumberFormat="1" applyFont="1" applyFill="1" applyAlignment="1"/>
    <xf numFmtId="3" fontId="13" fillId="0" borderId="0" xfId="162" applyNumberFormat="1" applyFill="1" applyAlignment="1"/>
    <xf numFmtId="0" fontId="14" fillId="0" borderId="0" xfId="162" applyFont="1" applyFill="1" applyAlignment="1">
      <alignment horizontal="center"/>
    </xf>
    <xf numFmtId="3" fontId="13" fillId="0" borderId="0" xfId="162" applyNumberFormat="1" applyFont="1" applyFill="1" applyAlignment="1">
      <alignment horizontal="centerContinuous"/>
    </xf>
    <xf numFmtId="3" fontId="14" fillId="0" borderId="0" xfId="162" applyNumberFormat="1" applyFont="1" applyFill="1" applyAlignment="1">
      <alignment horizontal="centerContinuous"/>
    </xf>
    <xf numFmtId="3" fontId="13" fillId="0" borderId="0" xfId="162" applyNumberFormat="1" applyFill="1" applyAlignment="1">
      <alignment horizontal="centerContinuous"/>
    </xf>
    <xf numFmtId="3" fontId="13" fillId="0" borderId="38" xfId="162" applyNumberFormat="1" applyFont="1" applyFill="1" applyBorder="1" applyAlignment="1"/>
    <xf numFmtId="3" fontId="13" fillId="0" borderId="0" xfId="162" applyNumberFormat="1" applyFont="1" applyFill="1" applyAlignment="1">
      <alignment horizontal="left"/>
    </xf>
    <xf numFmtId="37" fontId="13" fillId="0" borderId="0" xfId="162" applyNumberFormat="1" applyFont="1" applyFill="1" applyAlignment="1"/>
    <xf numFmtId="37" fontId="13" fillId="0" borderId="0" xfId="162" applyNumberFormat="1" applyFont="1" applyFill="1" applyAlignment="1">
      <alignment horizontal="center"/>
    </xf>
    <xf numFmtId="37" fontId="13" fillId="0" borderId="38" xfId="162" applyNumberFormat="1" applyFont="1" applyFill="1" applyBorder="1" applyAlignment="1"/>
    <xf numFmtId="37" fontId="13" fillId="0" borderId="39" xfId="162" applyNumberFormat="1" applyFont="1" applyFill="1" applyBorder="1" applyAlignment="1"/>
    <xf numFmtId="37" fontId="13" fillId="33" borderId="0" xfId="162" applyNumberFormat="1" applyFont="1" applyFill="1" applyAlignment="1"/>
    <xf numFmtId="37" fontId="13" fillId="0" borderId="0" xfId="162" applyNumberFormat="1" applyFill="1" applyAlignment="1"/>
    <xf numFmtId="37" fontId="13" fillId="0" borderId="40" xfId="162" applyNumberFormat="1" applyFont="1" applyFill="1" applyBorder="1" applyAlignment="1"/>
    <xf numFmtId="37" fontId="13" fillId="0" borderId="0" xfId="162" applyNumberFormat="1" applyFont="1" applyFill="1"/>
    <xf numFmtId="3" fontId="13" fillId="0" borderId="0" xfId="162" applyNumberFormat="1" applyFont="1" applyFill="1" applyAlignment="1" applyProtection="1">
      <alignment horizontal="center"/>
      <protection locked="0"/>
    </xf>
    <xf numFmtId="3" fontId="13" fillId="0" borderId="0" xfId="162" applyNumberFormat="1" applyFont="1" applyFill="1" applyAlignment="1">
      <alignment horizontal="center"/>
    </xf>
    <xf numFmtId="3" fontId="13" fillId="0" borderId="0" xfId="162" applyNumberFormat="1" applyFont="1" applyAlignment="1" applyProtection="1">
      <protection locked="0"/>
    </xf>
    <xf numFmtId="3" fontId="13" fillId="0" borderId="0" xfId="162" applyNumberFormat="1" applyFont="1" applyAlignment="1"/>
    <xf numFmtId="0" fontId="14" fillId="0" borderId="0" xfId="162" applyFont="1" applyAlignment="1">
      <alignment horizontal="center"/>
    </xf>
    <xf numFmtId="3" fontId="13" fillId="0" borderId="0" xfId="162" applyNumberFormat="1" applyFont="1" applyAlignment="1">
      <alignment horizontal="centerContinuous"/>
    </xf>
    <xf numFmtId="3" fontId="14" fillId="0" borderId="0" xfId="162" applyNumberFormat="1" applyFont="1" applyAlignment="1">
      <alignment horizontal="centerContinuous"/>
    </xf>
    <xf numFmtId="3" fontId="13" fillId="0" borderId="0" xfId="162" applyNumberFormat="1" applyAlignment="1">
      <alignment horizontal="centerContinuous"/>
    </xf>
    <xf numFmtId="3" fontId="13" fillId="0" borderId="38" xfId="162" applyNumberFormat="1" applyFont="1" applyBorder="1" applyAlignment="1"/>
    <xf numFmtId="0" fontId="13" fillId="0" borderId="0" xfId="162" applyFont="1" applyFill="1" applyAlignment="1">
      <alignment horizontal="left"/>
    </xf>
    <xf numFmtId="37" fontId="13" fillId="0" borderId="14" xfId="162" applyNumberFormat="1" applyFont="1" applyFill="1" applyBorder="1" applyAlignment="1"/>
    <xf numFmtId="37" fontId="13" fillId="0" borderId="0" xfId="162" applyNumberFormat="1"/>
    <xf numFmtId="37" fontId="155" fillId="0" borderId="39" xfId="162" applyNumberFormat="1" applyFont="1" applyFill="1" applyBorder="1" applyAlignment="1"/>
    <xf numFmtId="37" fontId="155" fillId="0" borderId="0" xfId="162" applyNumberFormat="1" applyFont="1" applyFill="1" applyAlignment="1"/>
    <xf numFmtId="4" fontId="13" fillId="0" borderId="0" xfId="162" applyNumberFormat="1" applyFont="1" applyFill="1" applyAlignment="1">
      <alignment horizontal="center"/>
    </xf>
    <xf numFmtId="195" fontId="9" fillId="30" borderId="0" xfId="249" applyNumberFormat="1" applyFont="1" applyFill="1" applyProtection="1">
      <protection locked="0"/>
    </xf>
    <xf numFmtId="0" fontId="153" fillId="0" borderId="0" xfId="162" applyFont="1" applyFill="1" applyAlignment="1">
      <alignment horizontal="left"/>
    </xf>
    <xf numFmtId="3" fontId="13" fillId="34" borderId="0" xfId="162" applyNumberFormat="1" applyFont="1" applyFill="1" applyAlignment="1"/>
    <xf numFmtId="0" fontId="13" fillId="34" borderId="0" xfId="162" applyFill="1"/>
    <xf numFmtId="3" fontId="13" fillId="34" borderId="0" xfId="162" applyNumberFormat="1" applyFont="1" applyFill="1" applyAlignment="1" applyProtection="1">
      <alignment horizontal="center"/>
      <protection locked="0"/>
    </xf>
    <xf numFmtId="0" fontId="13" fillId="34" borderId="0" xfId="162" applyFont="1" applyFill="1" applyAlignment="1">
      <alignment horizontal="center"/>
    </xf>
    <xf numFmtId="0" fontId="14" fillId="34" borderId="0" xfId="162" applyFont="1" applyFill="1" applyAlignment="1">
      <alignment horizontal="center"/>
    </xf>
    <xf numFmtId="41" fontId="9" fillId="30" borderId="0" xfId="250" applyNumberFormat="1" applyFont="1" applyFill="1"/>
    <xf numFmtId="3" fontId="10" fillId="0" borderId="0" xfId="162" applyNumberFormat="1" applyFont="1" applyFill="1" applyAlignment="1">
      <alignment horizontal="left"/>
    </xf>
    <xf numFmtId="195" fontId="9" fillId="30" borderId="0" xfId="250" applyNumberFormat="1" applyFont="1" applyFill="1" applyProtection="1">
      <protection locked="0"/>
    </xf>
    <xf numFmtId="173" fontId="79" fillId="30" borderId="0" xfId="256" applyNumberFormat="1" applyFont="1" applyFill="1" applyBorder="1" applyProtection="1">
      <protection locked="0"/>
    </xf>
    <xf numFmtId="173" fontId="13" fillId="0" borderId="0" xfId="256" applyNumberFormat="1" applyFont="1"/>
    <xf numFmtId="173" fontId="79" fillId="30" borderId="0" xfId="256" applyNumberFormat="1" applyFont="1" applyFill="1" applyBorder="1" applyProtection="1">
      <protection locked="0"/>
    </xf>
    <xf numFmtId="0" fontId="19" fillId="0" borderId="11" xfId="256" applyNumberFormat="1" applyFont="1" applyBorder="1" applyAlignment="1">
      <alignment horizontal="center"/>
    </xf>
    <xf numFmtId="0" fontId="19" fillId="0" borderId="11" xfId="256" applyNumberFormat="1" applyFont="1" applyBorder="1"/>
    <xf numFmtId="0" fontId="19" fillId="0" borderId="11" xfId="256" applyFont="1" applyBorder="1"/>
    <xf numFmtId="173" fontId="72" fillId="0" borderId="11" xfId="256" applyNumberFormat="1" applyFont="1" applyFill="1" applyBorder="1"/>
    <xf numFmtId="0" fontId="13" fillId="0" borderId="0" xfId="0" applyFont="1" applyFill="1" applyAlignment="1" applyProtection="1">
      <alignment vertical="top" wrapText="1"/>
    </xf>
    <xf numFmtId="0" fontId="13" fillId="0" borderId="0" xfId="0" applyNumberFormat="1" applyFont="1" applyAlignment="1">
      <alignment horizontal="center"/>
    </xf>
    <xf numFmtId="0" fontId="13" fillId="0" borderId="0" xfId="0" applyFont="1" applyAlignment="1"/>
    <xf numFmtId="0" fontId="13" fillId="0" borderId="0" xfId="0" applyFont="1" applyAlignment="1">
      <alignment horizontal="right"/>
    </xf>
    <xf numFmtId="0" fontId="10" fillId="0" borderId="0" xfId="259" applyFont="1" applyAlignment="1">
      <alignment horizontal="centerContinuous"/>
    </xf>
    <xf numFmtId="0" fontId="13" fillId="0" borderId="0" xfId="259" applyFont="1" applyFill="1" applyAlignment="1">
      <alignment horizontal="left"/>
    </xf>
    <xf numFmtId="0" fontId="10" fillId="0" borderId="0" xfId="259" applyFont="1" applyAlignment="1">
      <alignment horizontal="center"/>
    </xf>
    <xf numFmtId="0" fontId="10" fillId="0" borderId="0" xfId="259" applyFont="1" applyBorder="1" applyAlignment="1">
      <alignment wrapText="1"/>
    </xf>
    <xf numFmtId="0" fontId="13" fillId="0" borderId="32" xfId="0" applyNumberFormat="1" applyFont="1" applyBorder="1" applyAlignment="1">
      <alignment horizontal="center" wrapText="1"/>
    </xf>
    <xf numFmtId="0" fontId="10" fillId="0" borderId="33" xfId="259" applyFont="1" applyBorder="1" applyAlignment="1">
      <alignment horizontal="center" wrapText="1"/>
    </xf>
    <xf numFmtId="0" fontId="10" fillId="0" borderId="0" xfId="259" applyFont="1" applyBorder="1" applyAlignment="1">
      <alignment horizontal="center" wrapText="1"/>
    </xf>
    <xf numFmtId="0" fontId="13" fillId="0" borderId="0" xfId="0" applyFont="1" applyBorder="1" applyAlignment="1">
      <alignment wrapText="1"/>
    </xf>
    <xf numFmtId="0" fontId="13" fillId="0" borderId="0" xfId="0" applyFont="1" applyAlignment="1">
      <alignment wrapText="1"/>
    </xf>
    <xf numFmtId="0" fontId="13" fillId="0" borderId="34" xfId="0" applyNumberFormat="1" applyFont="1" applyBorder="1" applyAlignment="1">
      <alignment horizontal="center"/>
    </xf>
    <xf numFmtId="0" fontId="10" fillId="0" borderId="35" xfId="259" applyFont="1" applyBorder="1" applyAlignment="1">
      <alignment horizontal="center"/>
    </xf>
    <xf numFmtId="0" fontId="10" fillId="0" borderId="0" xfId="259" applyFont="1" applyBorder="1" applyAlignment="1">
      <alignment horizontal="center"/>
    </xf>
    <xf numFmtId="0" fontId="10" fillId="0" borderId="35" xfId="247" applyFont="1" applyFill="1" applyBorder="1" applyAlignment="1">
      <alignment horizontal="center" wrapText="1"/>
    </xf>
    <xf numFmtId="0" fontId="133" fillId="0" borderId="0" xfId="0" applyFont="1" applyAlignment="1"/>
    <xf numFmtId="3" fontId="25" fillId="0" borderId="11" xfId="207" applyNumberFormat="1" applyFont="1" applyFill="1" applyBorder="1" applyAlignment="1">
      <alignment horizontal="center" wrapText="1"/>
    </xf>
    <xf numFmtId="3" fontId="25" fillId="0" borderId="37" xfId="207" applyNumberFormat="1" applyFont="1" applyFill="1" applyBorder="1" applyAlignment="1">
      <alignment horizontal="center" wrapText="1"/>
    </xf>
    <xf numFmtId="0" fontId="13" fillId="0" borderId="35" xfId="259" quotePrefix="1" applyFont="1" applyBorder="1" applyAlignment="1">
      <alignment horizontal="left"/>
    </xf>
    <xf numFmtId="173" fontId="9" fillId="26" borderId="0" xfId="108" applyNumberFormat="1" applyFont="1" applyFill="1" applyAlignment="1" applyProtection="1">
      <protection locked="0"/>
    </xf>
    <xf numFmtId="0" fontId="13" fillId="0" borderId="35" xfId="259" applyFont="1" applyBorder="1"/>
    <xf numFmtId="0" fontId="13" fillId="0" borderId="36" xfId="0" applyNumberFormat="1" applyFont="1" applyBorder="1" applyAlignment="1">
      <alignment horizontal="center"/>
    </xf>
    <xf numFmtId="0" fontId="13" fillId="0" borderId="37" xfId="259" applyFont="1" applyBorder="1"/>
    <xf numFmtId="0" fontId="13" fillId="0" borderId="37" xfId="259" applyFont="1" applyBorder="1" applyAlignment="1">
      <alignment horizontal="right"/>
    </xf>
    <xf numFmtId="173" fontId="13" fillId="0" borderId="14" xfId="88" applyNumberFormat="1" applyFont="1" applyBorder="1"/>
    <xf numFmtId="173" fontId="13" fillId="0" borderId="41" xfId="88" applyNumberFormat="1" applyFont="1" applyBorder="1"/>
    <xf numFmtId="0" fontId="13" fillId="0" borderId="0" xfId="259" applyFont="1"/>
    <xf numFmtId="37" fontId="13" fillId="0" borderId="0" xfId="259" applyNumberFormat="1" applyFont="1"/>
    <xf numFmtId="172" fontId="13" fillId="0" borderId="0" xfId="252" applyFont="1" applyAlignment="1"/>
    <xf numFmtId="0" fontId="10" fillId="0" borderId="35" xfId="259" applyFont="1" applyBorder="1" applyAlignment="1">
      <alignment horizontal="center" wrapText="1"/>
    </xf>
    <xf numFmtId="0" fontId="13" fillId="0" borderId="16" xfId="0" applyNumberFormat="1" applyFont="1" applyBorder="1" applyAlignment="1">
      <alignment horizontal="center"/>
    </xf>
    <xf numFmtId="0" fontId="13" fillId="0" borderId="42" xfId="259" applyFont="1" applyBorder="1" applyAlignment="1">
      <alignment horizontal="right"/>
    </xf>
    <xf numFmtId="0" fontId="13" fillId="0" borderId="32" xfId="0" applyNumberFormat="1" applyFont="1" applyBorder="1" applyAlignment="1">
      <alignment horizontal="center"/>
    </xf>
    <xf numFmtId="0" fontId="10" fillId="0" borderId="2" xfId="259" applyFont="1" applyBorder="1" applyAlignment="1">
      <alignment horizontal="centerContinuous" wrapText="1"/>
    </xf>
    <xf numFmtId="0" fontId="13" fillId="0" borderId="32" xfId="0" applyFont="1" applyBorder="1" applyAlignment="1"/>
    <xf numFmtId="0" fontId="13" fillId="0" borderId="2" xfId="0" applyFont="1" applyBorder="1" applyAlignment="1"/>
    <xf numFmtId="0" fontId="13" fillId="0" borderId="34" xfId="0" applyNumberFormat="1" applyFont="1" applyBorder="1" applyAlignment="1">
      <alignment horizontal="center" wrapText="1"/>
    </xf>
    <xf numFmtId="0" fontId="10" fillId="0" borderId="34" xfId="259" applyFont="1" applyBorder="1" applyAlignment="1">
      <alignment horizontal="center" wrapText="1"/>
    </xf>
    <xf numFmtId="0" fontId="10" fillId="0" borderId="34" xfId="259" applyFont="1" applyBorder="1" applyAlignment="1">
      <alignment horizontal="center"/>
    </xf>
    <xf numFmtId="3" fontId="13" fillId="0" borderId="36" xfId="207" applyNumberFormat="1" applyFont="1" applyFill="1" applyBorder="1" applyAlignment="1">
      <alignment horizontal="center" wrapText="1"/>
    </xf>
    <xf numFmtId="3" fontId="13" fillId="0" borderId="11" xfId="207" applyNumberFormat="1" applyFont="1" applyFill="1" applyBorder="1" applyAlignment="1">
      <alignment horizontal="center" wrapText="1"/>
    </xf>
    <xf numFmtId="0" fontId="13" fillId="0" borderId="0" xfId="259" quotePrefix="1" applyFont="1" applyBorder="1" applyAlignment="1">
      <alignment horizontal="left"/>
    </xf>
    <xf numFmtId="173" fontId="9" fillId="26" borderId="34" xfId="108" applyNumberFormat="1" applyFont="1" applyFill="1" applyBorder="1" applyAlignment="1" applyProtection="1">
      <protection locked="0"/>
    </xf>
    <xf numFmtId="0" fontId="13" fillId="0" borderId="0" xfId="259" applyFont="1" applyBorder="1"/>
    <xf numFmtId="0" fontId="13" fillId="0" borderId="11" xfId="259" applyFont="1" applyBorder="1"/>
    <xf numFmtId="173" fontId="9" fillId="26" borderId="36" xfId="108" applyNumberFormat="1" applyFont="1" applyFill="1" applyBorder="1" applyAlignment="1" applyProtection="1">
      <protection locked="0"/>
    </xf>
    <xf numFmtId="0" fontId="13" fillId="0" borderId="14" xfId="0" applyNumberFormat="1" applyFont="1" applyBorder="1" applyAlignment="1">
      <alignment horizontal="center"/>
    </xf>
    <xf numFmtId="173" fontId="13" fillId="0" borderId="43" xfId="88" applyNumberFormat="1" applyFont="1" applyBorder="1"/>
    <xf numFmtId="173" fontId="13" fillId="0" borderId="0" xfId="0" applyNumberFormat="1" applyFont="1" applyAlignment="1"/>
    <xf numFmtId="0" fontId="133" fillId="0" borderId="0" xfId="0" applyNumberFormat="1" applyFont="1" applyAlignment="1">
      <alignment horizontal="center"/>
    </xf>
    <xf numFmtId="0" fontId="18" fillId="0" borderId="0" xfId="207" applyFont="1" applyFill="1" applyBorder="1" applyAlignment="1">
      <alignment horizontal="left" vertical="center"/>
    </xf>
    <xf numFmtId="0" fontId="13" fillId="0" borderId="0" xfId="207" applyNumberFormat="1" applyFont="1" applyFill="1" applyBorder="1" applyAlignment="1">
      <alignment horizontal="center"/>
    </xf>
    <xf numFmtId="0" fontId="18" fillId="0" borderId="0" xfId="207" applyFont="1" applyBorder="1" applyAlignment="1">
      <alignment horizontal="center" vertical="center"/>
    </xf>
    <xf numFmtId="0" fontId="18" fillId="0" borderId="0" xfId="248" applyFont="1" applyAlignment="1">
      <alignment horizontal="center" vertical="center" wrapText="1"/>
    </xf>
    <xf numFmtId="0" fontId="18" fillId="0" borderId="0" xfId="207" quotePrefix="1" applyFont="1" applyBorder="1" applyAlignment="1">
      <alignment horizontal="center" vertical="center" wrapText="1"/>
    </xf>
    <xf numFmtId="0" fontId="18" fillId="0" borderId="0" xfId="207" applyFont="1" applyFill="1" applyBorder="1" applyAlignment="1">
      <alignment horizontal="left"/>
    </xf>
    <xf numFmtId="0" fontId="13" fillId="0" borderId="0" xfId="207" applyFont="1" applyFill="1" applyBorder="1" applyAlignment="1">
      <alignment horizontal="center"/>
    </xf>
    <xf numFmtId="3" fontId="13" fillId="0" borderId="0" xfId="207" applyNumberFormat="1" applyFont="1" applyFill="1" applyBorder="1" applyAlignment="1"/>
    <xf numFmtId="173" fontId="0" fillId="0" borderId="0" xfId="108" applyNumberFormat="1" applyFont="1" applyFill="1"/>
    <xf numFmtId="0" fontId="10" fillId="0" borderId="0" xfId="207" applyFont="1" applyFill="1" applyBorder="1" applyAlignment="1">
      <alignment horizontal="left"/>
    </xf>
    <xf numFmtId="0" fontId="13" fillId="0" borderId="0" xfId="207" applyFont="1" applyFill="1" applyBorder="1"/>
    <xf numFmtId="3" fontId="13" fillId="0" borderId="0" xfId="207" applyNumberFormat="1" applyFont="1" applyFill="1" applyBorder="1" applyAlignment="1">
      <alignment horizontal="right"/>
    </xf>
    <xf numFmtId="3" fontId="13" fillId="32" borderId="0" xfId="207" applyNumberFormat="1" applyFont="1" applyFill="1" applyBorder="1" applyAlignment="1"/>
    <xf numFmtId="0" fontId="13" fillId="0" borderId="0" xfId="207" applyFont="1" applyBorder="1"/>
    <xf numFmtId="0" fontId="13" fillId="30" borderId="0" xfId="207" applyFont="1" applyFill="1" applyBorder="1" applyProtection="1">
      <protection locked="0"/>
    </xf>
    <xf numFmtId="173" fontId="9"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3" fillId="0" borderId="0" xfId="207" applyNumberFormat="1" applyFont="1" applyFill="1" applyBorder="1"/>
    <xf numFmtId="0" fontId="82" fillId="0" borderId="0" xfId="207" applyNumberFormat="1" applyFont="1" applyFill="1" applyBorder="1" applyAlignment="1">
      <alignment horizontal="center"/>
    </xf>
    <xf numFmtId="0" fontId="13" fillId="0" borderId="0" xfId="248" applyFont="1" applyFill="1" applyAlignment="1">
      <alignment horizontal="left"/>
    </xf>
    <xf numFmtId="0" fontId="98" fillId="0" borderId="0" xfId="248" applyFont="1" applyFill="1" applyBorder="1"/>
    <xf numFmtId="0" fontId="18" fillId="0" borderId="0" xfId="248" applyFont="1" applyFill="1" applyAlignment="1">
      <alignment horizontal="center"/>
    </xf>
    <xf numFmtId="0" fontId="13" fillId="0" borderId="0" xfId="0" applyFont="1" applyFill="1" applyAlignment="1"/>
    <xf numFmtId="0" fontId="13" fillId="0" borderId="0" xfId="0" applyFont="1" applyFill="1" applyAlignment="1">
      <alignment horizontal="center"/>
    </xf>
    <xf numFmtId="173" fontId="9" fillId="30" borderId="0" xfId="89" applyNumberFormat="1" applyFont="1" applyFill="1" applyBorder="1" applyAlignment="1" applyProtection="1">
      <alignment horizontal="left"/>
      <protection locked="0"/>
    </xf>
    <xf numFmtId="0" fontId="9" fillId="30" borderId="0" xfId="89" applyNumberFormat="1" applyFont="1" applyFill="1" applyBorder="1" applyAlignment="1" applyProtection="1">
      <alignment horizontal="center"/>
      <protection locked="0"/>
    </xf>
    <xf numFmtId="173" fontId="64" fillId="0" borderId="0" xfId="108" applyNumberFormat="1" applyFont="1" applyFill="1" applyAlignment="1" applyProtection="1">
      <alignment horizontal="left"/>
      <protection locked="0"/>
    </xf>
    <xf numFmtId="0" fontId="13" fillId="0" borderId="0" xfId="0" applyFont="1" applyFill="1" applyBorder="1" applyAlignment="1">
      <alignment horizontal="center"/>
    </xf>
    <xf numFmtId="173" fontId="64"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3" fillId="0" borderId="0" xfId="0" applyFont="1" applyFill="1"/>
    <xf numFmtId="0" fontId="13" fillId="0" borderId="0" xfId="207" applyFont="1" applyFill="1" applyBorder="1" applyAlignment="1">
      <alignment horizontal="left"/>
    </xf>
    <xf numFmtId="43" fontId="6" fillId="0" borderId="6" xfId="255" applyNumberFormat="1" applyFont="1" applyFill="1" applyBorder="1" applyAlignment="1" applyProtection="1"/>
    <xf numFmtId="0" fontId="13" fillId="0" borderId="33" xfId="0" applyFont="1" applyBorder="1" applyAlignment="1"/>
    <xf numFmtId="3" fontId="13" fillId="0" borderId="37" xfId="207" applyNumberFormat="1" applyFont="1" applyFill="1" applyBorder="1" applyAlignment="1">
      <alignment horizontal="center" wrapText="1"/>
    </xf>
    <xf numFmtId="173" fontId="9" fillId="30" borderId="35" xfId="89" applyNumberFormat="1" applyFont="1" applyFill="1" applyBorder="1" applyAlignment="1">
      <alignment horizontal="right"/>
    </xf>
    <xf numFmtId="0" fontId="13" fillId="0" borderId="0" xfId="162" applyNumberFormat="1" applyFont="1" applyAlignment="1">
      <alignment horizontal="center"/>
    </xf>
    <xf numFmtId="0" fontId="16" fillId="0" borderId="0" xfId="162" applyFont="1" applyAlignment="1"/>
    <xf numFmtId="0" fontId="16" fillId="0" borderId="0" xfId="162" applyNumberFormat="1" applyFont="1" applyAlignment="1">
      <alignment horizontal="center"/>
    </xf>
    <xf numFmtId="0" fontId="16" fillId="0" borderId="0" xfId="162" applyFont="1" applyAlignment="1">
      <alignment horizontal="right"/>
    </xf>
    <xf numFmtId="0" fontId="92" fillId="0" borderId="0" xfId="259" applyFont="1" applyAlignment="1">
      <alignment horizontal="centerContinuous"/>
    </xf>
    <xf numFmtId="0" fontId="16" fillId="0" borderId="0" xfId="259" applyFont="1" applyFill="1" applyAlignment="1">
      <alignment horizontal="left"/>
    </xf>
    <xf numFmtId="0" fontId="92" fillId="0" borderId="0" xfId="259" applyFont="1" applyAlignment="1">
      <alignment horizontal="center"/>
    </xf>
    <xf numFmtId="0" fontId="13" fillId="0" borderId="0" xfId="162" applyFont="1"/>
    <xf numFmtId="0" fontId="13" fillId="0" borderId="32" xfId="162" applyNumberFormat="1" applyFont="1" applyBorder="1" applyAlignment="1">
      <alignment horizontal="center" wrapText="1"/>
    </xf>
    <xf numFmtId="0" fontId="10" fillId="0" borderId="44" xfId="259" applyFont="1" applyBorder="1" applyAlignment="1">
      <alignment horizontal="center" wrapText="1"/>
    </xf>
    <xf numFmtId="0" fontId="16" fillId="0" borderId="0" xfId="162" applyFont="1" applyAlignment="1">
      <alignment wrapText="1"/>
    </xf>
    <xf numFmtId="0" fontId="13" fillId="0" borderId="34" xfId="162" applyNumberFormat="1" applyFont="1" applyBorder="1" applyAlignment="1">
      <alignment horizontal="center"/>
    </xf>
    <xf numFmtId="0" fontId="10" fillId="0" borderId="10" xfId="259" applyFont="1" applyBorder="1" applyAlignment="1">
      <alignment horizontal="center"/>
    </xf>
    <xf numFmtId="0" fontId="135" fillId="0" borderId="0" xfId="162" applyFont="1" applyAlignment="1"/>
    <xf numFmtId="3" fontId="25" fillId="0" borderId="36" xfId="207" applyNumberFormat="1" applyFont="1" applyFill="1" applyBorder="1" applyAlignment="1">
      <alignment horizontal="center" wrapText="1"/>
    </xf>
    <xf numFmtId="3" fontId="25" fillId="0" borderId="45" xfId="207" applyNumberFormat="1" applyFont="1" applyFill="1" applyBorder="1" applyAlignment="1">
      <alignment wrapText="1"/>
    </xf>
    <xf numFmtId="173" fontId="9" fillId="26" borderId="0" xfId="107" applyNumberFormat="1" applyFont="1" applyFill="1" applyAlignment="1" applyProtection="1">
      <protection locked="0"/>
    </xf>
    <xf numFmtId="41" fontId="13" fillId="0" borderId="10" xfId="259" applyNumberFormat="1" applyFont="1" applyFill="1" applyBorder="1"/>
    <xf numFmtId="0" fontId="13" fillId="0" borderId="36" xfId="162" applyNumberFormat="1" applyFont="1" applyBorder="1" applyAlignment="1">
      <alignment horizontal="center"/>
    </xf>
    <xf numFmtId="3" fontId="25" fillId="0" borderId="45" xfId="207" applyNumberFormat="1" applyFont="1" applyFill="1" applyBorder="1" applyAlignment="1">
      <alignment horizontal="center" wrapText="1"/>
    </xf>
    <xf numFmtId="173" fontId="9" fillId="30" borderId="0" xfId="88" applyNumberFormat="1" applyFont="1" applyFill="1" applyBorder="1" applyProtection="1">
      <protection locked="0"/>
    </xf>
    <xf numFmtId="0" fontId="13" fillId="0" borderId="16" xfId="162" applyNumberFormat="1" applyFont="1" applyBorder="1" applyAlignment="1">
      <alignment horizontal="center"/>
    </xf>
    <xf numFmtId="0" fontId="16" fillId="0" borderId="0" xfId="259" applyFont="1"/>
    <xf numFmtId="37" fontId="16" fillId="0" borderId="0" xfId="259" applyNumberFormat="1" applyFont="1"/>
    <xf numFmtId="172" fontId="16" fillId="0" borderId="0" xfId="252" applyFont="1" applyAlignment="1"/>
    <xf numFmtId="0" fontId="13" fillId="0" borderId="0" xfId="249" applyFont="1" applyFill="1" applyAlignment="1" applyProtection="1">
      <alignment vertical="top"/>
    </xf>
    <xf numFmtId="0" fontId="13" fillId="0" borderId="0" xfId="162" applyFont="1" applyAlignment="1" applyProtection="1">
      <alignment vertical="top" wrapText="1"/>
    </xf>
    <xf numFmtId="0" fontId="135" fillId="0" borderId="0" xfId="162" applyNumberFormat="1" applyFont="1" applyAlignment="1">
      <alignment horizontal="center"/>
    </xf>
    <xf numFmtId="0" fontId="91" fillId="0" borderId="0" xfId="250" applyFont="1" applyFill="1" applyProtection="1"/>
    <xf numFmtId="0" fontId="92" fillId="0" borderId="0" xfId="162" applyFont="1" applyAlignment="1">
      <alignment horizontal="center"/>
    </xf>
    <xf numFmtId="0" fontId="92" fillId="0" borderId="0" xfId="162" quotePrefix="1" applyFont="1" applyAlignment="1">
      <alignment horizontal="center"/>
    </xf>
    <xf numFmtId="0" fontId="10" fillId="0" borderId="0" xfId="250" applyFont="1" applyFill="1" applyAlignment="1" applyProtection="1">
      <alignment horizontal="left"/>
    </xf>
    <xf numFmtId="173" fontId="13" fillId="0" borderId="0" xfId="88" applyNumberFormat="1" applyFont="1" applyFill="1" applyProtection="1"/>
    <xf numFmtId="0" fontId="13" fillId="0" borderId="0" xfId="250" applyFont="1" applyFill="1" applyProtection="1"/>
    <xf numFmtId="0" fontId="13" fillId="0" borderId="0" xfId="181"/>
    <xf numFmtId="0" fontId="13" fillId="0" borderId="0" xfId="250" applyFont="1" applyFill="1" applyAlignment="1" applyProtection="1">
      <alignment horizontal="left"/>
    </xf>
    <xf numFmtId="173" fontId="9" fillId="30" borderId="0" xfId="88" applyNumberFormat="1" applyFont="1" applyFill="1" applyProtection="1">
      <protection locked="0"/>
    </xf>
    <xf numFmtId="0" fontId="13" fillId="0" borderId="0" xfId="181" applyProtection="1"/>
    <xf numFmtId="10" fontId="13" fillId="0" borderId="0" xfId="268" applyNumberFormat="1" applyFont="1" applyFill="1" applyBorder="1" applyProtection="1"/>
    <xf numFmtId="173" fontId="9" fillId="26" borderId="6" xfId="88" applyNumberFormat="1" applyFont="1" applyFill="1" applyBorder="1" applyAlignment="1" applyProtection="1">
      <protection locked="0"/>
    </xf>
    <xf numFmtId="10" fontId="10" fillId="0" borderId="0" xfId="268" applyNumberFormat="1" applyFont="1" applyFill="1" applyBorder="1" applyProtection="1"/>
    <xf numFmtId="0" fontId="10" fillId="0" borderId="0" xfId="250" applyFont="1" applyFill="1" applyProtection="1"/>
    <xf numFmtId="173" fontId="10" fillId="0" borderId="0" xfId="268" applyNumberFormat="1" applyFont="1" applyFill="1" applyBorder="1" applyProtection="1"/>
    <xf numFmtId="173" fontId="13" fillId="0" borderId="0" xfId="268" applyNumberFormat="1" applyFont="1" applyFill="1" applyBorder="1" applyProtection="1"/>
    <xf numFmtId="10" fontId="10" fillId="0" borderId="18" xfId="268" applyNumberFormat="1" applyFont="1" applyFill="1" applyBorder="1" applyProtection="1"/>
    <xf numFmtId="0" fontId="101" fillId="0" borderId="0" xfId="181" applyFont="1" applyAlignment="1" applyProtection="1">
      <alignment horizontal="center"/>
    </xf>
    <xf numFmtId="0" fontId="13" fillId="0" borderId="0" xfId="255" applyNumberFormat="1" applyFont="1" applyFill="1" applyBorder="1" applyAlignment="1" applyProtection="1">
      <alignment horizontal="center" vertical="center"/>
    </xf>
    <xf numFmtId="0" fontId="136" fillId="0" borderId="0" xfId="181" applyFont="1" applyProtection="1"/>
    <xf numFmtId="0" fontId="13" fillId="0" borderId="0" xfId="255" applyNumberFormat="1" applyFont="1" applyFill="1" applyBorder="1" applyAlignment="1" applyProtection="1">
      <alignment horizontal="center" vertical="top"/>
    </xf>
    <xf numFmtId="0" fontId="64" fillId="0" borderId="0" xfId="181" applyFont="1" applyAlignment="1" applyProtection="1">
      <alignment vertical="top" wrapText="1"/>
    </xf>
    <xf numFmtId="0" fontId="10" fillId="0" borderId="0" xfId="255" applyNumberFormat="1" applyFont="1" applyFill="1" applyBorder="1" applyAlignment="1" applyProtection="1">
      <alignment horizontal="center" vertical="center"/>
    </xf>
    <xf numFmtId="0" fontId="23" fillId="0" borderId="0" xfId="181" applyFont="1" applyAlignment="1" applyProtection="1"/>
    <xf numFmtId="41" fontId="10" fillId="0" borderId="0" xfId="250" applyNumberFormat="1" applyFont="1" applyFill="1" applyBorder="1" applyAlignment="1" applyProtection="1">
      <alignment horizontal="center" wrapText="1"/>
    </xf>
    <xf numFmtId="0" fontId="10" fillId="0" borderId="0" xfId="250" applyFont="1" applyFill="1" applyAlignment="1" applyProtection="1">
      <alignment horizontal="center" wrapText="1"/>
    </xf>
    <xf numFmtId="0" fontId="9" fillId="26" borderId="0" xfId="250" applyFont="1" applyFill="1" applyProtection="1">
      <protection locked="0"/>
    </xf>
    <xf numFmtId="173" fontId="137" fillId="26" borderId="0" xfId="88" applyNumberFormat="1" applyFont="1" applyFill="1" applyProtection="1">
      <protection locked="0"/>
    </xf>
    <xf numFmtId="196" fontId="13" fillId="0" borderId="0" xfId="257" applyNumberFormat="1" applyFont="1" applyFill="1" applyAlignment="1" applyProtection="1">
      <alignment horizontal="center"/>
      <protection locked="0"/>
    </xf>
    <xf numFmtId="37" fontId="9" fillId="26" borderId="0" xfId="250" applyNumberFormat="1" applyFont="1" applyFill="1" applyProtection="1">
      <protection locked="0"/>
    </xf>
    <xf numFmtId="0" fontId="137" fillId="26" borderId="0" xfId="250" applyFont="1" applyFill="1" applyProtection="1">
      <protection locked="0"/>
    </xf>
    <xf numFmtId="197" fontId="13" fillId="0" borderId="0" xfId="257" applyNumberFormat="1" applyFill="1" applyAlignment="1" applyProtection="1">
      <alignment horizontal="center"/>
      <protection locked="0"/>
    </xf>
    <xf numFmtId="14" fontId="13" fillId="0" borderId="0" xfId="257" applyNumberFormat="1" applyFill="1" applyAlignment="1" applyProtection="1">
      <alignment horizontal="center"/>
      <protection locked="0"/>
    </xf>
    <xf numFmtId="0" fontId="13" fillId="0" borderId="0" xfId="181" applyFont="1" applyProtection="1"/>
    <xf numFmtId="0" fontId="13" fillId="0" borderId="11" xfId="181" applyFont="1" applyBorder="1" applyProtection="1"/>
    <xf numFmtId="0" fontId="16" fillId="0" borderId="11" xfId="250" applyFont="1" applyFill="1" applyBorder="1" applyProtection="1"/>
    <xf numFmtId="0" fontId="13" fillId="0" borderId="0" xfId="181" applyFill="1"/>
    <xf numFmtId="0" fontId="10" fillId="0" borderId="2" xfId="250" applyFont="1" applyFill="1" applyBorder="1" applyAlignment="1" applyProtection="1">
      <alignment horizontal="left"/>
    </xf>
    <xf numFmtId="173" fontId="13" fillId="0" borderId="2" xfId="268" applyNumberFormat="1" applyFont="1" applyFill="1" applyBorder="1" applyProtection="1"/>
    <xf numFmtId="173" fontId="10" fillId="0" borderId="0" xfId="88" applyNumberFormat="1" applyFont="1" applyFill="1" applyBorder="1" applyProtection="1"/>
    <xf numFmtId="0" fontId="91" fillId="0" borderId="0" xfId="250" applyFont="1" applyFill="1" applyAlignment="1" applyProtection="1">
      <alignment horizontal="left"/>
    </xf>
    <xf numFmtId="0" fontId="13" fillId="0" borderId="0" xfId="255" applyNumberFormat="1" applyFont="1" applyFill="1" applyBorder="1" applyAlignment="1" applyProtection="1">
      <alignment horizontal="center" wrapText="1"/>
    </xf>
    <xf numFmtId="173" fontId="16" fillId="0" borderId="0" xfId="162" applyNumberFormat="1" applyFont="1" applyAlignment="1"/>
    <xf numFmtId="0" fontId="13" fillId="0" borderId="0" xfId="250" applyFont="1" applyFill="1" applyBorder="1" applyProtection="1"/>
    <xf numFmtId="0" fontId="16" fillId="0" borderId="2" xfId="162" applyNumberFormat="1" applyFont="1" applyBorder="1" applyAlignment="1"/>
    <xf numFmtId="0" fontId="33" fillId="0" borderId="0" xfId="0" applyFont="1" applyFill="1" applyAlignment="1" applyProtection="1">
      <alignment horizontal="center"/>
    </xf>
    <xf numFmtId="168" fontId="6" fillId="0" borderId="0" xfId="255" applyNumberFormat="1" applyFont="1" applyFill="1" applyAlignment="1" applyProtection="1"/>
    <xf numFmtId="188" fontId="6" fillId="0" borderId="0" xfId="255" applyNumberFormat="1" applyFont="1" applyFill="1" applyAlignment="1" applyProtection="1">
      <alignment horizontal="center"/>
    </xf>
    <xf numFmtId="41" fontId="6" fillId="0" borderId="11" xfId="255" applyNumberFormat="1" applyFont="1" applyFill="1" applyBorder="1" applyAlignment="1" applyProtection="1"/>
    <xf numFmtId="0" fontId="6" fillId="0" borderId="0" xfId="162" applyFont="1" applyFill="1" applyAlignment="1" applyProtection="1">
      <alignment horizontal="center"/>
    </xf>
    <xf numFmtId="0" fontId="64" fillId="0" borderId="0" xfId="162" applyFont="1" applyFill="1" applyProtection="1"/>
    <xf numFmtId="0" fontId="6" fillId="0" borderId="0" xfId="162" applyFont="1" applyFill="1" applyProtection="1"/>
    <xf numFmtId="0" fontId="13" fillId="0" borderId="0" xfId="162" applyFont="1" applyFill="1" applyProtection="1"/>
    <xf numFmtId="173" fontId="6" fillId="32" borderId="0" xfId="86" applyNumberFormat="1" applyFont="1" applyFill="1" applyAlignment="1" applyProtection="1">
      <alignment horizontal="right"/>
    </xf>
    <xf numFmtId="179" fontId="6" fillId="0" borderId="0" xfId="255" applyNumberFormat="1" applyFont="1" applyFill="1" applyAlignment="1" applyProtection="1">
      <alignment horizontal="center"/>
    </xf>
    <xf numFmtId="0" fontId="64" fillId="0" borderId="0" xfId="248" applyFont="1" applyFill="1" applyAlignment="1">
      <alignment horizontal="center"/>
    </xf>
    <xf numFmtId="37" fontId="13" fillId="0" borderId="0" xfId="162" applyNumberFormat="1" applyFont="1"/>
    <xf numFmtId="0" fontId="10" fillId="0" borderId="0" xfId="248" applyFont="1" applyFill="1" applyBorder="1"/>
    <xf numFmtId="0" fontId="13" fillId="0" borderId="0" xfId="162" applyFont="1" applyFill="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horizontal="center"/>
    </xf>
    <xf numFmtId="0" fontId="10" fillId="0" borderId="0" xfId="261" applyFont="1" applyFill="1" applyProtection="1"/>
    <xf numFmtId="0" fontId="13" fillId="0" borderId="0" xfId="261" applyFont="1" applyFill="1" applyProtection="1"/>
    <xf numFmtId="0" fontId="13" fillId="0" borderId="0" xfId="0" applyFont="1" applyFill="1" applyAlignment="1" applyProtection="1">
      <alignment vertical="top"/>
    </xf>
    <xf numFmtId="41" fontId="20" fillId="0" borderId="0" xfId="248" applyNumberFormat="1" applyFont="1" applyFill="1" applyBorder="1" applyProtection="1">
      <protection locked="0"/>
    </xf>
    <xf numFmtId="0" fontId="7" fillId="0" borderId="0" xfId="248" applyFont="1" applyFill="1" applyBorder="1"/>
    <xf numFmtId="0" fontId="19" fillId="0" borderId="0" xfId="256" applyNumberFormat="1" applyFont="1" applyFill="1" applyAlignment="1">
      <alignment horizontal="center"/>
    </xf>
    <xf numFmtId="0" fontId="19" fillId="0" borderId="0" xfId="256" applyNumberFormat="1" applyFont="1" applyFill="1"/>
    <xf numFmtId="0" fontId="74" fillId="0" borderId="0" xfId="256" applyFont="1" applyFill="1" applyAlignment="1">
      <alignment wrapText="1"/>
    </xf>
    <xf numFmtId="0" fontId="7" fillId="0" borderId="0" xfId="249" applyFont="1" applyFill="1" applyAlignment="1">
      <alignment horizontal="center"/>
    </xf>
    <xf numFmtId="0" fontId="7" fillId="0" borderId="0" xfId="249" applyFont="1" applyFill="1" applyBorder="1" applyAlignment="1">
      <alignment horizontal="center"/>
    </xf>
    <xf numFmtId="0" fontId="7" fillId="0" borderId="0" xfId="249" quotePrefix="1" applyFont="1" applyFill="1" applyBorder="1" applyAlignment="1">
      <alignment horizontal="center"/>
    </xf>
    <xf numFmtId="0" fontId="7" fillId="0" borderId="0" xfId="249" applyFont="1" applyFill="1" applyAlignment="1">
      <alignment horizontal="left" vertical="center" wrapText="1"/>
    </xf>
    <xf numFmtId="0" fontId="7" fillId="0" borderId="0" xfId="249" applyFont="1" applyFill="1" applyAlignment="1">
      <alignment horizontal="center" vertical="center" wrapText="1"/>
    </xf>
    <xf numFmtId="0" fontId="7" fillId="0" borderId="0" xfId="249" applyFont="1" applyFill="1" applyBorder="1" applyAlignment="1">
      <alignment horizontal="center" vertical="center" wrapText="1"/>
    </xf>
    <xf numFmtId="0" fontId="7" fillId="0" borderId="0" xfId="249" quotePrefix="1" applyFont="1" applyFill="1" applyBorder="1" applyAlignment="1">
      <alignment horizontal="center" vertical="center" wrapText="1"/>
    </xf>
    <xf numFmtId="0" fontId="13" fillId="0" borderId="0" xfId="256" applyNumberFormat="1" applyFont="1" applyFill="1" applyAlignment="1">
      <alignment horizontal="center"/>
    </xf>
    <xf numFmtId="185" fontId="13" fillId="0" borderId="0" xfId="256" applyNumberFormat="1" applyFont="1" applyFill="1"/>
    <xf numFmtId="0" fontId="13" fillId="0" borderId="0" xfId="251" applyFont="1" applyFill="1" applyAlignment="1" applyProtection="1">
      <alignment horizontal="left"/>
    </xf>
    <xf numFmtId="0" fontId="13" fillId="0" borderId="0" xfId="181" applyFont="1" applyFill="1" applyProtection="1"/>
    <xf numFmtId="0" fontId="6" fillId="32" borderId="0" xfId="255" applyNumberFormat="1" applyFont="1" applyFill="1" applyAlignment="1" applyProtection="1">
      <alignment vertical="top" wrapText="1"/>
    </xf>
    <xf numFmtId="0" fontId="139" fillId="0" borderId="0" xfId="0" applyFont="1" applyAlignment="1">
      <alignment vertical="center"/>
    </xf>
    <xf numFmtId="0" fontId="140" fillId="0" borderId="0" xfId="207" applyFont="1" applyProtection="1"/>
    <xf numFmtId="0" fontId="141" fillId="0" borderId="0" xfId="207" applyFont="1" applyBorder="1" applyAlignment="1" applyProtection="1">
      <alignment horizontal="center"/>
    </xf>
    <xf numFmtId="3" fontId="142" fillId="0" borderId="0" xfId="207" applyNumberFormat="1" applyFont="1" applyAlignment="1" applyProtection="1">
      <alignment horizontal="center"/>
    </xf>
    <xf numFmtId="0" fontId="140" fillId="0" borderId="0" xfId="0" applyFont="1" applyAlignment="1" applyProtection="1"/>
    <xf numFmtId="0" fontId="143" fillId="0" borderId="0" xfId="207" applyFont="1" applyProtection="1"/>
    <xf numFmtId="0" fontId="142" fillId="0" borderId="0" xfId="207" applyFont="1" applyAlignment="1" applyProtection="1">
      <alignment horizontal="center"/>
    </xf>
    <xf numFmtId="0" fontId="141" fillId="0" borderId="0" xfId="206" applyFont="1" applyFill="1" applyProtection="1"/>
    <xf numFmtId="0" fontId="142" fillId="0" borderId="0" xfId="207" applyFont="1" applyFill="1" applyBorder="1" applyAlignment="1" applyProtection="1">
      <alignment horizontal="center"/>
    </xf>
    <xf numFmtId="0" fontId="141" fillId="0" borderId="0" xfId="207" applyFont="1" applyProtection="1"/>
    <xf numFmtId="0" fontId="144" fillId="0" borderId="0" xfId="207" applyFont="1" applyBorder="1" applyAlignment="1" applyProtection="1">
      <alignment horizontal="left"/>
    </xf>
    <xf numFmtId="0" fontId="141" fillId="0" borderId="0" xfId="207" applyFont="1" applyBorder="1" applyAlignment="1" applyProtection="1"/>
    <xf numFmtId="0" fontId="141" fillId="0" borderId="0" xfId="207" applyFont="1" applyBorder="1" applyProtection="1"/>
    <xf numFmtId="0" fontId="144" fillId="0" borderId="0" xfId="207" applyFont="1" applyFill="1" applyBorder="1" applyProtection="1"/>
    <xf numFmtId="3" fontId="141" fillId="0" borderId="0" xfId="207" applyNumberFormat="1" applyFont="1" applyFill="1" applyBorder="1" applyAlignment="1" applyProtection="1"/>
    <xf numFmtId="1" fontId="145" fillId="0" borderId="0" xfId="207" applyNumberFormat="1" applyFont="1" applyFill="1" applyBorder="1" applyAlignment="1" applyProtection="1">
      <alignment horizontal="center"/>
    </xf>
    <xf numFmtId="172" fontId="141" fillId="0" borderId="0" xfId="254" applyFont="1" applyBorder="1" applyAlignment="1" applyProtection="1"/>
    <xf numFmtId="170" fontId="145" fillId="30" borderId="0" xfId="254" applyNumberFormat="1" applyFont="1" applyFill="1" applyBorder="1" applyAlignment="1" applyProtection="1">
      <alignment horizontal="right"/>
      <protection locked="0"/>
    </xf>
    <xf numFmtId="6" fontId="140" fillId="0" borderId="0" xfId="207" applyNumberFormat="1" applyFont="1" applyProtection="1"/>
    <xf numFmtId="170" fontId="141" fillId="0" borderId="0" xfId="254" applyNumberFormat="1" applyFont="1" applyFill="1" applyBorder="1" applyAlignment="1" applyProtection="1">
      <alignment horizontal="right"/>
    </xf>
    <xf numFmtId="170" fontId="141" fillId="0" borderId="0" xfId="254" applyNumberFormat="1" applyFont="1" applyBorder="1" applyAlignment="1" applyProtection="1">
      <alignment horizontal="right"/>
    </xf>
    <xf numFmtId="171" fontId="141" fillId="0" borderId="0" xfId="254" applyNumberFormat="1" applyFont="1" applyFill="1" applyBorder="1" applyAlignment="1" applyProtection="1"/>
    <xf numFmtId="0" fontId="146" fillId="0" borderId="0" xfId="207" applyFont="1" applyProtection="1"/>
    <xf numFmtId="170" fontId="141" fillId="0" borderId="0" xfId="254" applyNumberFormat="1" applyFont="1" applyBorder="1" applyAlignment="1" applyProtection="1"/>
    <xf numFmtId="0" fontId="141" fillId="0" borderId="0" xfId="0" applyFont="1" applyBorder="1" applyAlignment="1" applyProtection="1"/>
    <xf numFmtId="172" fontId="141" fillId="0" borderId="0" xfId="254" applyFont="1" applyFill="1" applyBorder="1" applyAlignment="1" applyProtection="1"/>
    <xf numFmtId="0" fontId="141" fillId="0" borderId="6" xfId="207" applyFont="1" applyBorder="1" applyAlignment="1" applyProtection="1">
      <alignment horizontal="center"/>
    </xf>
    <xf numFmtId="0" fontId="141" fillId="0" borderId="6" xfId="0" applyFont="1" applyBorder="1" applyAlignment="1" applyProtection="1"/>
    <xf numFmtId="172" fontId="141" fillId="0" borderId="6" xfId="254" applyFont="1" applyBorder="1" applyAlignment="1" applyProtection="1"/>
    <xf numFmtId="170" fontId="141" fillId="0" borderId="0" xfId="0" applyNumberFormat="1" applyFont="1" applyBorder="1" applyAlignment="1" applyProtection="1"/>
    <xf numFmtId="170" fontId="141" fillId="0" borderId="0" xfId="207" applyNumberFormat="1" applyFont="1" applyBorder="1" applyProtection="1"/>
    <xf numFmtId="0" fontId="140" fillId="0" borderId="0" xfId="207" applyFont="1" applyBorder="1" applyProtection="1"/>
    <xf numFmtId="0" fontId="6" fillId="0" borderId="0" xfId="255" applyNumberFormat="1" applyFont="1" applyFill="1" applyAlignment="1" applyProtection="1">
      <alignment horizontal="left" indent="2"/>
    </xf>
    <xf numFmtId="173" fontId="9" fillId="30" borderId="0" xfId="108" applyNumberFormat="1" applyFont="1" applyFill="1" applyAlignment="1" applyProtection="1">
      <protection locked="0"/>
    </xf>
    <xf numFmtId="173" fontId="9" fillId="30" borderId="34" xfId="108" applyNumberFormat="1" applyFont="1" applyFill="1" applyBorder="1" applyAlignment="1" applyProtection="1">
      <protection locked="0"/>
    </xf>
    <xf numFmtId="173" fontId="9" fillId="30" borderId="0" xfId="107" applyNumberFormat="1" applyFont="1" applyFill="1" applyAlignment="1" applyProtection="1">
      <protection locked="0"/>
    </xf>
    <xf numFmtId="0" fontId="6" fillId="30" borderId="0" xfId="0" applyNumberFormat="1" applyFont="1" applyFill="1" applyAlignment="1" applyProtection="1">
      <alignment horizontal="center"/>
      <protection locked="0"/>
    </xf>
    <xf numFmtId="0" fontId="13" fillId="33" borderId="30" xfId="0" applyNumberFormat="1" applyFont="1" applyFill="1" applyBorder="1" applyAlignment="1" applyProtection="1">
      <alignment horizontal="center"/>
    </xf>
    <xf numFmtId="0" fontId="64" fillId="30" borderId="0" xfId="0" applyNumberFormat="1" applyFont="1" applyFill="1" applyAlignment="1" applyProtection="1">
      <alignment horizontal="left"/>
      <protection locked="0"/>
    </xf>
    <xf numFmtId="0" fontId="64" fillId="30" borderId="0" xfId="0" quotePrefix="1" applyNumberFormat="1" applyFont="1" applyFill="1" applyAlignment="1" applyProtection="1">
      <alignment horizontal="left"/>
      <protection locked="0"/>
    </xf>
    <xf numFmtId="41" fontId="6" fillId="0" borderId="11" xfId="255" applyNumberFormat="1" applyFont="1" applyBorder="1" applyAlignment="1" applyProtection="1"/>
    <xf numFmtId="0" fontId="13" fillId="32" borderId="30" xfId="0" applyNumberFormat="1" applyFont="1" applyFill="1" applyBorder="1" applyAlignment="1" applyProtection="1">
      <alignment horizontal="center"/>
    </xf>
    <xf numFmtId="0" fontId="123" fillId="0" borderId="0" xfId="0" applyNumberFormat="1" applyFont="1" applyFill="1" applyAlignment="1" applyProtection="1">
      <alignment horizontal="center"/>
    </xf>
    <xf numFmtId="41" fontId="9" fillId="30" borderId="0" xfId="248" applyNumberFormat="1" applyFont="1" applyFill="1" applyProtection="1">
      <protection locked="0"/>
    </xf>
    <xf numFmtId="10" fontId="6" fillId="0" borderId="0" xfId="268" applyNumberFormat="1" applyFont="1" applyFill="1" applyAlignment="1" applyProtection="1"/>
    <xf numFmtId="0" fontId="6" fillId="0" borderId="0" xfId="0" applyFont="1" applyFill="1" applyAlignment="1" applyProtection="1">
      <alignment horizontal="center"/>
    </xf>
    <xf numFmtId="171" fontId="141" fillId="33" borderId="0" xfId="254" applyNumberFormat="1" applyFont="1" applyFill="1" applyBorder="1" applyAlignment="1" applyProtection="1">
      <protection locked="0"/>
    </xf>
    <xf numFmtId="10" fontId="4" fillId="0" borderId="0" xfId="258" applyNumberFormat="1" applyFill="1" applyBorder="1" applyProtection="1"/>
    <xf numFmtId="0" fontId="25" fillId="0" borderId="0" xfId="210" applyFont="1"/>
    <xf numFmtId="0" fontId="25" fillId="0" borderId="0" xfId="210" applyFont="1" applyAlignment="1">
      <alignment horizontal="center"/>
    </xf>
    <xf numFmtId="0" fontId="13" fillId="0" borderId="0" xfId="210" applyFont="1" applyAlignment="1">
      <alignment horizontal="right"/>
    </xf>
    <xf numFmtId="14" fontId="25" fillId="0" borderId="0" xfId="210" applyNumberFormat="1" applyFont="1"/>
    <xf numFmtId="0" fontId="25" fillId="0" borderId="0" xfId="162" applyFont="1"/>
    <xf numFmtId="9" fontId="25" fillId="0" borderId="0" xfId="267" applyFont="1"/>
    <xf numFmtId="41" fontId="25" fillId="0" borderId="0" xfId="210" applyNumberFormat="1" applyFont="1"/>
    <xf numFmtId="10" fontId="25" fillId="0" borderId="0" xfId="269" applyNumberFormat="1" applyFont="1"/>
    <xf numFmtId="0" fontId="25" fillId="0" borderId="0" xfId="0" applyFont="1" applyAlignment="1"/>
    <xf numFmtId="0" fontId="25" fillId="0" borderId="11" xfId="210" applyFont="1" applyBorder="1"/>
    <xf numFmtId="0" fontId="26" fillId="0" borderId="11" xfId="210" applyFont="1" applyBorder="1" applyAlignment="1">
      <alignment horizontal="center"/>
    </xf>
    <xf numFmtId="0" fontId="26" fillId="0" borderId="11" xfId="210" applyFont="1" applyBorder="1" applyAlignment="1">
      <alignment horizontal="center" wrapText="1"/>
    </xf>
    <xf numFmtId="0" fontId="26" fillId="0" borderId="13" xfId="210" applyFont="1" applyBorder="1" applyAlignment="1">
      <alignment horizontal="center" wrapText="1"/>
    </xf>
    <xf numFmtId="0" fontId="26" fillId="0" borderId="11" xfId="210" applyFont="1" applyFill="1" applyBorder="1" applyAlignment="1">
      <alignment horizontal="center" wrapText="1"/>
    </xf>
    <xf numFmtId="0" fontId="26" fillId="0" borderId="0" xfId="210" applyFont="1" applyAlignment="1">
      <alignment horizontal="center"/>
    </xf>
    <xf numFmtId="0" fontId="26" fillId="0" borderId="0" xfId="210" applyFont="1" applyFill="1" applyBorder="1" applyAlignment="1">
      <alignment horizontal="center" wrapText="1"/>
    </xf>
    <xf numFmtId="0" fontId="26" fillId="0" borderId="0" xfId="210" applyFont="1" applyAlignment="1">
      <alignment horizontal="left"/>
    </xf>
    <xf numFmtId="0" fontId="25" fillId="35" borderId="0" xfId="210" applyFont="1" applyFill="1"/>
    <xf numFmtId="49" fontId="25" fillId="0" borderId="0" xfId="210" applyNumberFormat="1" applyFont="1" applyFill="1" applyAlignment="1">
      <alignment horizontal="center"/>
    </xf>
    <xf numFmtId="0" fontId="25" fillId="0" borderId="0" xfId="210" applyFont="1" applyBorder="1"/>
    <xf numFmtId="0" fontId="25" fillId="0" borderId="0" xfId="210" applyFont="1" applyFill="1" applyBorder="1" applyAlignment="1">
      <alignment horizontal="center"/>
    </xf>
    <xf numFmtId="41" fontId="25" fillId="30" borderId="12" xfId="249" applyNumberFormat="1" applyFont="1" applyFill="1" applyBorder="1" applyProtection="1">
      <protection locked="0"/>
    </xf>
    <xf numFmtId="173" fontId="25" fillId="36" borderId="12" xfId="111" applyNumberFormat="1" applyFont="1" applyFill="1" applyBorder="1"/>
    <xf numFmtId="173" fontId="25" fillId="0" borderId="46" xfId="111" applyNumberFormat="1" applyFont="1" applyFill="1" applyBorder="1"/>
    <xf numFmtId="173" fontId="25" fillId="0" borderId="12" xfId="111" applyNumberFormat="1" applyFont="1" applyFill="1" applyBorder="1"/>
    <xf numFmtId="41" fontId="25" fillId="30" borderId="0" xfId="249" applyNumberFormat="1" applyFont="1" applyFill="1" applyBorder="1" applyProtection="1">
      <protection locked="0"/>
    </xf>
    <xf numFmtId="41" fontId="25" fillId="0" borderId="0" xfId="210" applyNumberFormat="1" applyFont="1" applyBorder="1" applyAlignment="1">
      <alignment horizontal="center"/>
    </xf>
    <xf numFmtId="0" fontId="26" fillId="0" borderId="0" xfId="210" applyFont="1" applyBorder="1"/>
    <xf numFmtId="173" fontId="25" fillId="36" borderId="46" xfId="111" applyNumberFormat="1" applyFont="1" applyFill="1" applyBorder="1"/>
    <xf numFmtId="41" fontId="25" fillId="0" borderId="12" xfId="162" applyNumberFormat="1" applyFont="1" applyFill="1" applyBorder="1"/>
    <xf numFmtId="41" fontId="25" fillId="30" borderId="34" xfId="249" applyNumberFormat="1" applyFont="1" applyFill="1" applyBorder="1" applyAlignment="1" applyProtection="1">
      <alignment vertical="center" wrapText="1"/>
      <protection locked="0"/>
    </xf>
    <xf numFmtId="173" fontId="25" fillId="0" borderId="0" xfId="86" applyNumberFormat="1" applyFont="1" applyBorder="1" applyAlignment="1">
      <alignment horizontal="center"/>
    </xf>
    <xf numFmtId="49" fontId="25" fillId="0" borderId="0" xfId="210" applyNumberFormat="1" applyFont="1" applyAlignment="1">
      <alignment horizontal="center"/>
    </xf>
    <xf numFmtId="0" fontId="26" fillId="0" borderId="0" xfId="210" applyFont="1"/>
    <xf numFmtId="41" fontId="25" fillId="30" borderId="34" xfId="249" applyNumberFormat="1" applyFont="1" applyFill="1" applyBorder="1" applyAlignment="1" applyProtection="1">
      <alignment vertical="top"/>
      <protection locked="0"/>
    </xf>
    <xf numFmtId="0" fontId="0" fillId="0" borderId="0" xfId="0" applyFont="1"/>
    <xf numFmtId="0" fontId="25" fillId="0" borderId="0" xfId="162" applyFont="1" applyFill="1"/>
    <xf numFmtId="0" fontId="25" fillId="0" borderId="0" xfId="162" applyFont="1" applyFill="1" applyBorder="1"/>
    <xf numFmtId="0" fontId="25" fillId="0" borderId="0" xfId="210" applyFont="1" applyFill="1" applyAlignment="1">
      <alignment horizontal="center"/>
    </xf>
    <xf numFmtId="0" fontId="25" fillId="0" borderId="0" xfId="210" applyFont="1" applyAlignment="1">
      <alignment wrapText="1"/>
    </xf>
    <xf numFmtId="173" fontId="25" fillId="36" borderId="0" xfId="111" applyNumberFormat="1" applyFont="1" applyFill="1" applyBorder="1"/>
    <xf numFmtId="41" fontId="25" fillId="30" borderId="47" xfId="249" applyNumberFormat="1" applyFont="1" applyFill="1" applyBorder="1" applyProtection="1">
      <protection locked="0"/>
    </xf>
    <xf numFmtId="173" fontId="25" fillId="0" borderId="0" xfId="111" applyNumberFormat="1" applyFont="1" applyFill="1" applyBorder="1"/>
    <xf numFmtId="173" fontId="25" fillId="0" borderId="0" xfId="111" applyNumberFormat="1" applyFont="1" applyBorder="1" applyAlignment="1">
      <alignment wrapText="1"/>
    </xf>
    <xf numFmtId="0" fontId="25" fillId="0" borderId="0" xfId="210" applyFont="1" applyAlignment="1">
      <alignment horizontal="left"/>
    </xf>
    <xf numFmtId="1" fontId="25" fillId="0" borderId="14" xfId="86" applyNumberFormat="1" applyFont="1" applyBorder="1" applyAlignment="1"/>
    <xf numFmtId="173" fontId="25" fillId="0" borderId="14" xfId="86" applyNumberFormat="1" applyFont="1" applyBorder="1" applyAlignment="1"/>
    <xf numFmtId="177" fontId="25" fillId="0" borderId="14" xfId="86" applyNumberFormat="1" applyFont="1" applyBorder="1" applyAlignment="1"/>
    <xf numFmtId="173" fontId="25" fillId="0" borderId="0" xfId="111" applyNumberFormat="1" applyFont="1" applyAlignment="1">
      <alignment wrapText="1"/>
    </xf>
    <xf numFmtId="1" fontId="25" fillId="0" borderId="0" xfId="86" applyNumberFormat="1" applyFont="1" applyBorder="1" applyAlignment="1"/>
    <xf numFmtId="177" fontId="25" fillId="0" borderId="0" xfId="86" applyNumberFormat="1" applyFont="1" applyBorder="1" applyAlignment="1"/>
    <xf numFmtId="173" fontId="25" fillId="0" borderId="1" xfId="86" applyNumberFormat="1" applyFont="1" applyBorder="1" applyAlignment="1">
      <alignment horizontal="center"/>
    </xf>
    <xf numFmtId="173" fontId="25" fillId="0" borderId="0" xfId="86" applyNumberFormat="1" applyFont="1" applyBorder="1" applyAlignment="1"/>
    <xf numFmtId="0" fontId="25" fillId="0" borderId="0" xfId="210" applyFont="1" applyAlignment="1">
      <alignment horizontal="left" vertical="center"/>
    </xf>
    <xf numFmtId="0" fontId="25" fillId="0" borderId="0" xfId="210" applyFont="1" applyAlignment="1">
      <alignment vertical="top" wrapText="1"/>
    </xf>
    <xf numFmtId="0" fontId="25" fillId="0" borderId="0" xfId="210" applyFont="1" applyAlignment="1"/>
    <xf numFmtId="173" fontId="25" fillId="0" borderId="0" xfId="210" applyNumberFormat="1" applyFont="1"/>
    <xf numFmtId="0" fontId="25" fillId="0" borderId="0" xfId="210" applyFont="1" applyAlignment="1">
      <alignment vertical="top"/>
    </xf>
    <xf numFmtId="0" fontId="25" fillId="0" borderId="0" xfId="210" applyFont="1" applyFill="1" applyAlignment="1">
      <alignment vertical="top" wrapText="1"/>
    </xf>
    <xf numFmtId="0" fontId="25" fillId="0" borderId="0" xfId="210" applyFont="1" applyFill="1"/>
    <xf numFmtId="0" fontId="25" fillId="0" borderId="0" xfId="210" applyFont="1" applyFill="1" applyAlignment="1">
      <alignment horizontal="left"/>
    </xf>
    <xf numFmtId="0" fontId="26" fillId="0" borderId="0" xfId="210" applyFont="1" applyAlignment="1">
      <alignment horizontal="left" vertical="center"/>
    </xf>
    <xf numFmtId="173" fontId="25" fillId="0" borderId="0" xfId="210" applyNumberFormat="1" applyFont="1" applyAlignment="1">
      <alignment horizontal="left" vertical="center"/>
    </xf>
    <xf numFmtId="173" fontId="156" fillId="30" borderId="0" xfId="86" applyNumberFormat="1" applyFont="1" applyFill="1"/>
    <xf numFmtId="173" fontId="149" fillId="0" borderId="0" xfId="86" applyNumberFormat="1" applyFont="1" applyFill="1" applyProtection="1"/>
    <xf numFmtId="3" fontId="20" fillId="30" borderId="6" xfId="255" applyNumberFormat="1" applyFont="1" applyFill="1" applyBorder="1" applyAlignment="1" applyProtection="1">
      <protection locked="0"/>
    </xf>
    <xf numFmtId="170" fontId="145" fillId="30" borderId="6" xfId="254" applyNumberFormat="1" applyFont="1" applyFill="1" applyBorder="1" applyAlignment="1" applyProtection="1">
      <alignment horizontal="right"/>
      <protection locked="0"/>
    </xf>
    <xf numFmtId="0" fontId="26" fillId="0" borderId="0" xfId="210" applyFont="1" applyBorder="1" applyAlignment="1">
      <alignment horizontal="center" wrapText="1"/>
    </xf>
    <xf numFmtId="0" fontId="0" fillId="0" borderId="0" xfId="0" applyAlignment="1"/>
    <xf numFmtId="0" fontId="13" fillId="0" borderId="0" xfId="0" applyFont="1" applyFill="1" applyProtection="1"/>
    <xf numFmtId="173" fontId="9" fillId="26" borderId="33" xfId="107" applyNumberFormat="1" applyFont="1" applyFill="1" applyBorder="1" applyAlignment="1" applyProtection="1">
      <protection locked="0"/>
    </xf>
    <xf numFmtId="173" fontId="9" fillId="26" borderId="35" xfId="107" applyNumberFormat="1" applyFont="1" applyFill="1" applyBorder="1" applyAlignment="1" applyProtection="1">
      <protection locked="0"/>
    </xf>
    <xf numFmtId="0" fontId="123" fillId="0" borderId="29" xfId="0" applyFont="1" applyBorder="1" applyAlignment="1">
      <alignment horizontal="center" wrapText="1"/>
    </xf>
    <xf numFmtId="0" fontId="123" fillId="0" borderId="0" xfId="0" applyFont="1"/>
    <xf numFmtId="0" fontId="124" fillId="0" borderId="0" xfId="0" applyFont="1" applyAlignment="1">
      <alignment horizontal="left"/>
    </xf>
    <xf numFmtId="0" fontId="64" fillId="30" borderId="0" xfId="0" applyFont="1" applyFill="1" applyAlignment="1" applyProtection="1">
      <alignment horizontal="left"/>
      <protection locked="0"/>
    </xf>
    <xf numFmtId="0" fontId="64" fillId="30" borderId="0" xfId="0" quotePrefix="1" applyFont="1" applyFill="1" applyAlignment="1" applyProtection="1">
      <alignment horizontal="left"/>
      <protection locked="0"/>
    </xf>
    <xf numFmtId="3" fontId="20" fillId="30" borderId="0" xfId="0" applyNumberFormat="1" applyFont="1" applyFill="1" applyProtection="1">
      <protection locked="0"/>
    </xf>
    <xf numFmtId="41" fontId="28" fillId="0" borderId="0" xfId="248" applyNumberFormat="1" applyFont="1" applyFill="1" applyBorder="1" applyProtection="1">
      <protection locked="0"/>
    </xf>
    <xf numFmtId="173" fontId="9" fillId="26" borderId="37" xfId="107" applyNumberFormat="1" applyFont="1" applyFill="1" applyBorder="1" applyAlignment="1" applyProtection="1">
      <protection locked="0"/>
    </xf>
    <xf numFmtId="0" fontId="13" fillId="0" borderId="47" xfId="259" applyFont="1" applyBorder="1" applyAlignment="1">
      <alignment horizontal="right"/>
    </xf>
    <xf numFmtId="49" fontId="3" fillId="0" borderId="0" xfId="332" applyNumberFormat="1"/>
    <xf numFmtId="0" fontId="3" fillId="0" borderId="0" xfId="332"/>
    <xf numFmtId="0" fontId="6" fillId="0" borderId="0" xfId="332" applyFont="1" applyAlignment="1">
      <alignment horizontal="right"/>
    </xf>
    <xf numFmtId="173" fontId="3" fillId="0" borderId="0" xfId="333" applyNumberFormat="1" applyFont="1"/>
    <xf numFmtId="0" fontId="25" fillId="0" borderId="0" xfId="334" applyFont="1" applyAlignment="1">
      <alignment horizontal="right"/>
    </xf>
    <xf numFmtId="0" fontId="3" fillId="0" borderId="0" xfId="334" applyFont="1" applyAlignment="1">
      <alignment horizontal="right"/>
    </xf>
    <xf numFmtId="0" fontId="3" fillId="0" borderId="0" xfId="335"/>
    <xf numFmtId="41" fontId="10" fillId="0" borderId="0" xfId="336" applyNumberFormat="1" applyFont="1" applyAlignment="1" applyProtection="1">
      <alignment horizontal="center"/>
      <protection locked="0"/>
    </xf>
    <xf numFmtId="2" fontId="3" fillId="0" borderId="0" xfId="332" applyNumberFormat="1" applyAlignment="1">
      <alignment horizontal="center"/>
    </xf>
    <xf numFmtId="0" fontId="3" fillId="0" borderId="0" xfId="332" applyAlignment="1">
      <alignment horizontal="center"/>
    </xf>
    <xf numFmtId="2" fontId="3" fillId="0" borderId="0" xfId="332" applyNumberFormat="1"/>
    <xf numFmtId="0" fontId="3" fillId="0" borderId="0" xfId="332" applyAlignment="1">
      <alignment wrapText="1"/>
    </xf>
    <xf numFmtId="0" fontId="3" fillId="0" borderId="0" xfId="332" applyAlignment="1">
      <alignment horizontal="center" wrapText="1"/>
    </xf>
    <xf numFmtId="1" fontId="3" fillId="0" borderId="0" xfId="332" applyNumberFormat="1" applyAlignment="1">
      <alignment horizontal="center"/>
    </xf>
    <xf numFmtId="49" fontId="3" fillId="0" borderId="0" xfId="333" applyNumberFormat="1" applyFont="1"/>
    <xf numFmtId="173" fontId="3" fillId="0" borderId="11" xfId="333" applyNumberFormat="1" applyFont="1" applyBorder="1"/>
    <xf numFmtId="173" fontId="3" fillId="0" borderId="0" xfId="333" applyNumberFormat="1" applyFont="1" applyFill="1"/>
    <xf numFmtId="10" fontId="3" fillId="0" borderId="0" xfId="337" applyNumberFormat="1" applyFont="1" applyFill="1" applyAlignment="1"/>
    <xf numFmtId="9" fontId="3" fillId="0" borderId="0" xfId="337" applyFont="1"/>
    <xf numFmtId="9" fontId="3" fillId="0" borderId="0" xfId="337" applyFont="1" applyFill="1"/>
    <xf numFmtId="43" fontId="3" fillId="0" borderId="0" xfId="333" applyFont="1" applyFill="1"/>
    <xf numFmtId="10" fontId="3" fillId="0" borderId="0" xfId="337" applyNumberFormat="1" applyFont="1" applyFill="1"/>
    <xf numFmtId="173" fontId="3" fillId="0" borderId="13" xfId="333" applyNumberFormat="1" applyFont="1" applyBorder="1"/>
    <xf numFmtId="173" fontId="3" fillId="0" borderId="0" xfId="333" applyNumberFormat="1" applyFont="1" applyBorder="1"/>
    <xf numFmtId="10" fontId="3" fillId="0" borderId="0" xfId="337" applyNumberFormat="1" applyFont="1"/>
    <xf numFmtId="0" fontId="16" fillId="0" borderId="0" xfId="332" applyFont="1"/>
    <xf numFmtId="0" fontId="16" fillId="0" borderId="0" xfId="332" applyFont="1" applyAlignment="1">
      <alignment vertical="top"/>
    </xf>
    <xf numFmtId="0" fontId="3" fillId="0" borderId="0" xfId="332" applyAlignment="1">
      <alignment vertical="center"/>
    </xf>
    <xf numFmtId="0" fontId="155" fillId="0" borderId="0" xfId="332" applyFont="1" applyAlignment="1">
      <alignment vertical="center"/>
    </xf>
    <xf numFmtId="0" fontId="155" fillId="0" borderId="0" xfId="332" applyFont="1" applyAlignment="1">
      <alignment vertical="center" wrapText="1"/>
    </xf>
    <xf numFmtId="0" fontId="13" fillId="0" borderId="30" xfId="0" applyNumberFormat="1" applyFont="1" applyFill="1" applyBorder="1" applyAlignment="1" applyProtection="1">
      <alignment horizontal="center"/>
    </xf>
    <xf numFmtId="173" fontId="9" fillId="26" borderId="32" xfId="107" applyNumberFormat="1" applyFont="1" applyFill="1" applyBorder="1" applyAlignment="1" applyProtection="1">
      <protection locked="0"/>
    </xf>
    <xf numFmtId="173" fontId="9" fillId="26" borderId="2" xfId="108" applyNumberFormat="1" applyFont="1" applyFill="1" applyBorder="1" applyAlignment="1" applyProtection="1">
      <protection locked="0"/>
    </xf>
    <xf numFmtId="173" fontId="9" fillId="26" borderId="2" xfId="107" applyNumberFormat="1" applyFont="1" applyFill="1" applyBorder="1" applyAlignment="1" applyProtection="1">
      <protection locked="0"/>
    </xf>
    <xf numFmtId="173" fontId="9" fillId="26" borderId="34" xfId="107" applyNumberFormat="1" applyFont="1" applyFill="1" applyBorder="1" applyAlignment="1" applyProtection="1">
      <protection locked="0"/>
    </xf>
    <xf numFmtId="173" fontId="9" fillId="30" borderId="0" xfId="108" applyNumberFormat="1" applyFont="1" applyFill="1" applyBorder="1" applyAlignment="1" applyProtection="1">
      <protection locked="0"/>
    </xf>
    <xf numFmtId="173" fontId="9" fillId="26" borderId="0" xfId="107" applyNumberFormat="1" applyFont="1" applyFill="1" applyBorder="1" applyAlignment="1" applyProtection="1">
      <protection locked="0"/>
    </xf>
    <xf numFmtId="173" fontId="9" fillId="26" borderId="36" xfId="107" applyNumberFormat="1" applyFont="1" applyFill="1" applyBorder="1" applyAlignment="1" applyProtection="1">
      <protection locked="0"/>
    </xf>
    <xf numFmtId="173" fontId="9" fillId="26" borderId="11" xfId="108" applyNumberFormat="1" applyFont="1" applyFill="1" applyBorder="1" applyAlignment="1" applyProtection="1">
      <protection locked="0"/>
    </xf>
    <xf numFmtId="173" fontId="9" fillId="26" borderId="11" xfId="107" applyNumberFormat="1" applyFont="1" applyFill="1" applyBorder="1" applyAlignment="1" applyProtection="1">
      <protection locked="0"/>
    </xf>
    <xf numFmtId="0" fontId="123" fillId="0" borderId="0" xfId="0" applyFont="1" applyAlignment="1">
      <alignment horizontal="center"/>
    </xf>
    <xf numFmtId="0" fontId="6" fillId="0" borderId="0" xfId="0" applyFont="1"/>
    <xf numFmtId="176" fontId="123" fillId="0" borderId="0" xfId="0" applyNumberFormat="1" applyFont="1"/>
    <xf numFmtId="173" fontId="102" fillId="0" borderId="0" xfId="0" applyNumberFormat="1" applyFont="1" applyProtection="1"/>
    <xf numFmtId="0" fontId="6" fillId="0" borderId="0" xfId="0" applyFont="1" applyFill="1" applyAlignment="1" applyProtection="1">
      <alignment horizontal="left" vertical="top" wrapText="1"/>
    </xf>
    <xf numFmtId="172" fontId="6" fillId="0" borderId="0" xfId="255" applyFont="1" applyAlignment="1" applyProtection="1">
      <alignment horizontal="left" wrapText="1"/>
    </xf>
    <xf numFmtId="0" fontId="6" fillId="0" borderId="0" xfId="255" applyNumberFormat="1" applyFont="1" applyFill="1" applyAlignment="1" applyProtection="1">
      <alignment vertical="top" wrapText="1"/>
    </xf>
    <xf numFmtId="0" fontId="13" fillId="0" borderId="0" xfId="0" applyFont="1" applyFill="1" applyProtection="1"/>
    <xf numFmtId="0" fontId="27" fillId="0" borderId="0" xfId="255" applyNumberFormat="1" applyFont="1" applyFill="1" applyAlignment="1" applyProtection="1">
      <alignment horizontal="left" wrapText="1"/>
    </xf>
    <xf numFmtId="172" fontId="6" fillId="0" borderId="0" xfId="255" applyFont="1" applyFill="1" applyAlignment="1" applyProtection="1">
      <alignment horizontal="justify" wrapText="1"/>
    </xf>
    <xf numFmtId="0" fontId="13" fillId="0" borderId="0" xfId="0" applyFont="1" applyFill="1" applyAlignment="1" applyProtection="1">
      <alignment horizontal="justify" wrapText="1"/>
    </xf>
    <xf numFmtId="172" fontId="27" fillId="0" borderId="0" xfId="255" applyFont="1" applyFill="1" applyAlignment="1" applyProtection="1">
      <alignment vertical="top" wrapText="1"/>
    </xf>
    <xf numFmtId="0" fontId="27" fillId="0" borderId="0" xfId="0" applyFont="1" applyAlignment="1" applyProtection="1">
      <alignment vertical="top" wrapText="1"/>
    </xf>
    <xf numFmtId="172" fontId="27" fillId="0" borderId="0" xfId="255" applyFont="1" applyFill="1" applyAlignment="1" applyProtection="1">
      <alignment wrapText="1"/>
    </xf>
    <xf numFmtId="172" fontId="6" fillId="0" borderId="0" xfId="255" applyFont="1" applyFill="1" applyAlignment="1" applyProtection="1">
      <alignment vertical="top" wrapText="1"/>
    </xf>
    <xf numFmtId="172" fontId="108" fillId="0" borderId="0" xfId="255" applyFont="1" applyFill="1" applyAlignment="1" applyProtection="1">
      <alignment wrapText="1"/>
    </xf>
    <xf numFmtId="0" fontId="13" fillId="0" borderId="0" xfId="0" applyFont="1" applyAlignment="1" applyProtection="1">
      <alignment wrapText="1"/>
    </xf>
    <xf numFmtId="0" fontId="33" fillId="0" borderId="0" xfId="0" applyFont="1" applyAlignment="1" applyProtection="1">
      <alignment wrapText="1"/>
    </xf>
    <xf numFmtId="0" fontId="6" fillId="0" borderId="0" xfId="255" applyNumberFormat="1" applyFont="1" applyFill="1" applyAlignment="1" applyProtection="1">
      <alignment wrapText="1"/>
    </xf>
    <xf numFmtId="0" fontId="6" fillId="32" borderId="0" xfId="255" applyNumberFormat="1" applyFont="1" applyFill="1" applyAlignment="1" applyProtection="1">
      <alignment horizontal="left" vertical="top" wrapText="1"/>
    </xf>
    <xf numFmtId="3" fontId="109" fillId="31" borderId="0" xfId="255" applyNumberFormat="1" applyFont="1" applyFill="1" applyAlignment="1" applyProtection="1">
      <alignment horizontal="center"/>
    </xf>
    <xf numFmtId="3" fontId="11" fillId="0" borderId="0" xfId="255" applyNumberFormat="1" applyFont="1" applyFill="1" applyAlignment="1" applyProtection="1">
      <alignment horizontal="center"/>
    </xf>
    <xf numFmtId="0" fontId="6" fillId="0" borderId="0" xfId="0" applyFont="1" applyAlignment="1" applyProtection="1">
      <alignment wrapText="1"/>
    </xf>
    <xf numFmtId="172" fontId="78" fillId="0" borderId="0" xfId="255" applyFont="1" applyAlignment="1" applyProtection="1">
      <alignment horizontal="left" wrapText="1"/>
    </xf>
    <xf numFmtId="49" fontId="6" fillId="0" borderId="0" xfId="255" applyNumberFormat="1" applyFont="1" applyAlignment="1" applyProtection="1">
      <alignment horizontal="center"/>
    </xf>
    <xf numFmtId="0" fontId="33" fillId="0" borderId="0" xfId="0" applyFont="1" applyAlignment="1" applyProtection="1">
      <alignment horizontal="center"/>
    </xf>
    <xf numFmtId="0" fontId="11" fillId="0" borderId="0" xfId="255"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55" applyFont="1" applyBorder="1" applyAlignment="1" applyProtection="1">
      <alignment horizontal="center"/>
    </xf>
    <xf numFmtId="0" fontId="3" fillId="0" borderId="0" xfId="259" applyFont="1" applyAlignment="1">
      <alignment horizontal="left" wrapText="1"/>
    </xf>
    <xf numFmtId="0" fontId="6" fillId="0" borderId="0" xfId="0" applyFont="1" applyAlignment="1" applyProtection="1">
      <alignment horizontal="center"/>
    </xf>
    <xf numFmtId="0" fontId="6" fillId="0" borderId="0" xfId="207" applyFont="1" applyBorder="1" applyAlignment="1">
      <alignment horizontal="center"/>
    </xf>
    <xf numFmtId="0" fontId="10" fillId="0" borderId="46" xfId="259" applyFont="1" applyBorder="1" applyAlignment="1">
      <alignment horizontal="center" wrapText="1"/>
    </xf>
    <xf numFmtId="0" fontId="10" fillId="0" borderId="13" xfId="259" applyFont="1" applyBorder="1" applyAlignment="1">
      <alignment horizontal="center" wrapText="1"/>
    </xf>
    <xf numFmtId="0" fontId="10" fillId="0" borderId="47" xfId="259" applyFont="1" applyBorder="1" applyAlignment="1">
      <alignment horizontal="center" wrapText="1"/>
    </xf>
    <xf numFmtId="0" fontId="10" fillId="0" borderId="46" xfId="0" applyFont="1" applyBorder="1" applyAlignment="1">
      <alignment horizontal="center"/>
    </xf>
    <xf numFmtId="0" fontId="10" fillId="0" borderId="13" xfId="0" applyFont="1" applyBorder="1" applyAlignment="1">
      <alignment horizontal="center"/>
    </xf>
    <xf numFmtId="3" fontId="6" fillId="0" borderId="0" xfId="207" applyNumberFormat="1" applyFont="1" applyBorder="1" applyAlignment="1">
      <alignment horizontal="center"/>
    </xf>
    <xf numFmtId="0" fontId="6" fillId="0" borderId="0" xfId="0" applyFont="1" applyAlignment="1">
      <alignment horizontal="center"/>
    </xf>
    <xf numFmtId="0" fontId="41" fillId="0" borderId="0" xfId="248" applyFont="1" applyBorder="1" applyAlignment="1">
      <alignment horizontal="center" wrapText="1"/>
    </xf>
    <xf numFmtId="0" fontId="64" fillId="0" borderId="11" xfId="0" applyFont="1" applyBorder="1" applyAlignment="1">
      <alignment horizontal="center" wrapText="1"/>
    </xf>
    <xf numFmtId="3" fontId="6" fillId="0" borderId="0" xfId="0" applyNumberFormat="1" applyFont="1" applyAlignment="1">
      <alignment horizontal="center"/>
    </xf>
    <xf numFmtId="0" fontId="41" fillId="0" borderId="0" xfId="207" quotePrefix="1" applyFont="1" applyBorder="1" applyAlignment="1">
      <alignment horizontal="center" wrapText="1"/>
    </xf>
    <xf numFmtId="41" fontId="25" fillId="30" borderId="34" xfId="249" applyNumberFormat="1" applyFont="1" applyFill="1" applyBorder="1" applyAlignment="1" applyProtection="1">
      <alignment horizontal="left" vertical="center" wrapText="1"/>
      <protection locked="0"/>
    </xf>
    <xf numFmtId="0" fontId="25" fillId="0" borderId="0" xfId="210" applyFont="1" applyAlignment="1">
      <alignment horizontal="center" wrapText="1"/>
    </xf>
    <xf numFmtId="0" fontId="25" fillId="0" borderId="0" xfId="210" applyFont="1" applyAlignment="1">
      <alignment horizontal="left" vertical="top" wrapText="1"/>
    </xf>
    <xf numFmtId="0" fontId="25" fillId="0" borderId="0" xfId="210" applyFont="1" applyFill="1" applyAlignment="1">
      <alignment horizontal="left" vertical="top" wrapText="1"/>
    </xf>
    <xf numFmtId="0" fontId="25" fillId="0" borderId="11" xfId="210" applyFont="1" applyBorder="1" applyAlignment="1">
      <alignment horizontal="center"/>
    </xf>
    <xf numFmtId="0" fontId="25" fillId="0" borderId="11" xfId="0" applyFont="1" applyBorder="1" applyAlignment="1">
      <alignment horizontal="center"/>
    </xf>
    <xf numFmtId="0" fontId="25" fillId="0" borderId="11" xfId="210" applyFont="1" applyBorder="1" applyAlignment="1">
      <alignment horizontal="center" wrapText="1"/>
    </xf>
    <xf numFmtId="0" fontId="26" fillId="0" borderId="0" xfId="210" applyFont="1" applyBorder="1" applyAlignment="1">
      <alignment horizontal="center" wrapText="1"/>
    </xf>
    <xf numFmtId="2" fontId="3" fillId="0" borderId="0" xfId="332" applyNumberFormat="1" applyAlignment="1">
      <alignment horizontal="left"/>
    </xf>
    <xf numFmtId="41" fontId="10" fillId="0" borderId="0" xfId="336" applyNumberFormat="1" applyFont="1" applyAlignment="1" applyProtection="1">
      <alignment horizontal="center"/>
      <protection locked="0"/>
    </xf>
    <xf numFmtId="0" fontId="3" fillId="0" borderId="0" xfId="332" applyAlignment="1">
      <alignment vertical="center" wrapText="1"/>
    </xf>
    <xf numFmtId="0" fontId="3" fillId="0" borderId="0" xfId="332" applyAlignment="1">
      <alignment horizontal="left" vertical="top" wrapText="1"/>
    </xf>
    <xf numFmtId="0" fontId="3" fillId="0" borderId="0" xfId="332" applyAlignment="1">
      <alignment horizontal="left" wrapText="1"/>
    </xf>
    <xf numFmtId="0" fontId="13" fillId="0" borderId="0" xfId="207" applyNumberFormat="1" applyFont="1" applyFill="1" applyBorder="1" applyAlignment="1">
      <alignment horizontal="left" wrapText="1"/>
    </xf>
    <xf numFmtId="0" fontId="82" fillId="0" borderId="0" xfId="207" applyNumberFormat="1" applyFont="1" applyFill="1" applyBorder="1" applyAlignment="1" applyProtection="1">
      <alignment horizontal="center"/>
    </xf>
    <xf numFmtId="0" fontId="6" fillId="0" borderId="0" xfId="207" applyFont="1" applyBorder="1" applyAlignment="1" applyProtection="1">
      <alignment horizontal="center"/>
    </xf>
    <xf numFmtId="3" fontId="6" fillId="0" borderId="0" xfId="0" applyNumberFormat="1" applyFont="1" applyAlignment="1" applyProtection="1">
      <alignment horizontal="center"/>
    </xf>
    <xf numFmtId="0" fontId="82" fillId="0" borderId="0" xfId="248" applyFont="1" applyFill="1" applyAlignment="1" applyProtection="1">
      <alignment horizontal="center"/>
    </xf>
    <xf numFmtId="0" fontId="18" fillId="0" borderId="0" xfId="248" applyFont="1" applyBorder="1" applyAlignment="1" applyProtection="1">
      <alignment horizontal="center" wrapText="1"/>
    </xf>
    <xf numFmtId="0" fontId="14" fillId="0" borderId="0" xfId="0" applyFont="1" applyBorder="1" applyAlignment="1" applyProtection="1">
      <alignment horizontal="center" wrapText="1"/>
    </xf>
    <xf numFmtId="0" fontId="18" fillId="0" borderId="0" xfId="207" quotePrefix="1" applyFont="1" applyBorder="1" applyAlignment="1" applyProtection="1">
      <alignment horizontal="center" wrapText="1"/>
    </xf>
    <xf numFmtId="0" fontId="14" fillId="0" borderId="0" xfId="0" applyFont="1" applyAlignment="1" applyProtection="1">
      <alignment horizontal="center" wrapText="1"/>
    </xf>
    <xf numFmtId="0" fontId="82" fillId="0" borderId="0" xfId="0" applyFont="1" applyFill="1" applyAlignment="1" applyProtection="1">
      <alignment horizontal="center"/>
    </xf>
    <xf numFmtId="172" fontId="110" fillId="0" borderId="0" xfId="255" applyFont="1" applyFill="1" applyAlignment="1" applyProtection="1">
      <alignment wrapText="1"/>
    </xf>
    <xf numFmtId="0" fontId="121" fillId="0" borderId="0" xfId="0" applyFont="1" applyAlignment="1" applyProtection="1">
      <alignment wrapText="1"/>
    </xf>
    <xf numFmtId="172" fontId="13" fillId="0" borderId="0" xfId="255" applyFont="1" applyFill="1" applyAlignment="1" applyProtection="1">
      <alignment horizontal="left" vertical="top" wrapText="1"/>
    </xf>
    <xf numFmtId="0" fontId="95" fillId="0" borderId="0" xfId="260" applyFont="1" applyFill="1" applyAlignment="1" applyProtection="1">
      <alignment wrapText="1"/>
    </xf>
    <xf numFmtId="3" fontId="5" fillId="0" borderId="0" xfId="0" applyNumberFormat="1" applyFont="1" applyAlignment="1" applyProtection="1">
      <alignment horizontal="center"/>
    </xf>
    <xf numFmtId="0" fontId="11" fillId="0" borderId="0" xfId="260" applyFont="1" applyFill="1" applyAlignment="1" applyProtection="1">
      <alignment horizontal="center"/>
    </xf>
    <xf numFmtId="3" fontId="5" fillId="0" borderId="0" xfId="0" applyNumberFormat="1" applyFont="1" applyAlignment="1">
      <alignment horizontal="center"/>
    </xf>
    <xf numFmtId="0" fontId="75" fillId="0" borderId="11" xfId="256" applyFont="1" applyBorder="1" applyAlignment="1" applyProtection="1">
      <alignment horizontal="center"/>
    </xf>
    <xf numFmtId="3" fontId="6" fillId="0" borderId="0" xfId="207" applyNumberFormat="1" applyFont="1" applyBorder="1" applyAlignment="1" applyProtection="1">
      <alignment horizontal="center"/>
    </xf>
    <xf numFmtId="0" fontId="72" fillId="0" borderId="0" xfId="256" applyFont="1" applyFill="1" applyAlignment="1">
      <alignment horizontal="left" wrapText="1"/>
    </xf>
    <xf numFmtId="0" fontId="0" fillId="0" borderId="0" xfId="0" applyAlignment="1"/>
    <xf numFmtId="0" fontId="72" fillId="0" borderId="0" xfId="256" applyFont="1" applyFill="1" applyAlignment="1">
      <alignment wrapText="1"/>
    </xf>
    <xf numFmtId="49" fontId="6" fillId="0" borderId="0" xfId="86" applyNumberFormat="1" applyFont="1" applyAlignment="1">
      <alignment horizontal="center"/>
    </xf>
    <xf numFmtId="0" fontId="0" fillId="0" borderId="0" xfId="0" applyAlignment="1">
      <alignment horizontal="center"/>
    </xf>
    <xf numFmtId="0" fontId="5" fillId="0" borderId="0" xfId="207" applyFont="1" applyBorder="1" applyAlignment="1">
      <alignment horizontal="center"/>
    </xf>
    <xf numFmtId="0" fontId="5" fillId="0" borderId="0" xfId="0" applyFont="1" applyAlignment="1">
      <alignment horizontal="center"/>
    </xf>
    <xf numFmtId="0" fontId="0" fillId="0" borderId="0" xfId="0" applyNumberFormat="1" applyAlignment="1" applyProtection="1">
      <alignment horizontal="left" wrapText="1"/>
    </xf>
    <xf numFmtId="0" fontId="157" fillId="30" borderId="0" xfId="0" applyFont="1" applyFill="1" applyAlignment="1" applyProtection="1">
      <alignment horizontal="left" vertical="top" wrapText="1"/>
      <protection locked="0"/>
    </xf>
    <xf numFmtId="173" fontId="96" fillId="0" borderId="0" xfId="86" applyNumberFormat="1" applyFont="1" applyBorder="1" applyAlignment="1" applyProtection="1">
      <alignment horizontal="center"/>
    </xf>
    <xf numFmtId="0" fontId="5"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3" fillId="0" borderId="23" xfId="255" applyFont="1" applyBorder="1" applyAlignment="1" applyProtection="1">
      <alignment wrapText="1"/>
    </xf>
    <xf numFmtId="0" fontId="3" fillId="0" borderId="17" xfId="0" applyFont="1" applyBorder="1" applyAlignment="1" applyProtection="1">
      <alignment wrapText="1"/>
    </xf>
    <xf numFmtId="0" fontId="3" fillId="0" borderId="24" xfId="0" applyFont="1" applyBorder="1" applyAlignment="1" applyProtection="1">
      <alignment wrapText="1"/>
    </xf>
    <xf numFmtId="0" fontId="3" fillId="0" borderId="19" xfId="0" applyFont="1" applyBorder="1" applyAlignment="1" applyProtection="1">
      <alignment wrapText="1"/>
    </xf>
    <xf numFmtId="0" fontId="3" fillId="0" borderId="0" xfId="0" applyFont="1" applyBorder="1" applyAlignment="1" applyProtection="1">
      <alignment wrapText="1"/>
    </xf>
    <xf numFmtId="0" fontId="3" fillId="0" borderId="20" xfId="0" applyFont="1" applyBorder="1" applyAlignment="1" applyProtection="1">
      <alignment wrapText="1"/>
    </xf>
    <xf numFmtId="0" fontId="13" fillId="32" borderId="0" xfId="0" applyFont="1" applyFill="1" applyBorder="1" applyAlignment="1" applyProtection="1">
      <alignment wrapText="1"/>
    </xf>
    <xf numFmtId="0" fontId="0" fillId="32" borderId="0" xfId="0" applyFill="1" applyAlignment="1" applyProtection="1">
      <alignment wrapText="1"/>
    </xf>
    <xf numFmtId="0" fontId="13" fillId="0" borderId="0" xfId="0" applyFont="1" applyFill="1" applyBorder="1" applyAlignment="1" applyProtection="1">
      <alignment wrapText="1"/>
    </xf>
    <xf numFmtId="0" fontId="13" fillId="0" borderId="0" xfId="250" applyFont="1" applyFill="1" applyAlignment="1" applyProtection="1">
      <alignment horizontal="left" wrapText="1"/>
    </xf>
    <xf numFmtId="0" fontId="13" fillId="0" borderId="0" xfId="181" applyFont="1" applyFill="1" applyAlignment="1" applyProtection="1">
      <alignment wrapText="1"/>
    </xf>
    <xf numFmtId="0" fontId="113" fillId="0" borderId="0" xfId="250" applyFont="1" applyFill="1" applyAlignment="1" applyProtection="1">
      <alignment horizontal="left" wrapText="1"/>
    </xf>
    <xf numFmtId="0" fontId="64" fillId="0" borderId="0" xfId="162" applyFont="1" applyAlignment="1" applyProtection="1">
      <alignment horizontal="left" vertical="top" wrapText="1"/>
    </xf>
    <xf numFmtId="41" fontId="10" fillId="0" borderId="0" xfId="250" applyNumberFormat="1" applyFont="1" applyFill="1" applyBorder="1" applyAlignment="1" applyProtection="1">
      <alignment horizontal="center" wrapText="1"/>
    </xf>
    <xf numFmtId="0" fontId="6" fillId="0" borderId="0" xfId="162" applyFont="1" applyAlignment="1" applyProtection="1">
      <alignment horizontal="center"/>
    </xf>
    <xf numFmtId="0" fontId="10" fillId="0" borderId="46" xfId="162" applyFont="1" applyBorder="1" applyAlignment="1">
      <alignment horizontal="center"/>
    </xf>
    <xf numFmtId="0" fontId="10" fillId="0" borderId="13" xfId="162" applyFont="1" applyBorder="1" applyAlignment="1">
      <alignment horizontal="center"/>
    </xf>
    <xf numFmtId="0" fontId="10" fillId="0" borderId="47" xfId="162" applyFont="1" applyBorder="1" applyAlignment="1">
      <alignment horizontal="center"/>
    </xf>
    <xf numFmtId="0" fontId="10" fillId="0" borderId="0" xfId="0" applyFont="1" applyAlignment="1">
      <alignment horizontal="center" wrapText="1"/>
    </xf>
    <xf numFmtId="0" fontId="0" fillId="0" borderId="0" xfId="0" applyAlignment="1">
      <alignment wrapText="1"/>
    </xf>
    <xf numFmtId="0" fontId="10" fillId="0" borderId="0" xfId="0" applyFont="1" applyAlignment="1">
      <alignment horizontal="left" wrapText="1"/>
    </xf>
    <xf numFmtId="0" fontId="95" fillId="0" borderId="0" xfId="0" applyFont="1" applyAlignment="1">
      <alignment horizontal="center" wrapText="1"/>
    </xf>
    <xf numFmtId="0" fontId="21" fillId="30" borderId="0" xfId="0" applyFont="1" applyFill="1" applyAlignment="1" applyProtection="1">
      <alignment wrapText="1"/>
      <protection locked="0"/>
    </xf>
    <xf numFmtId="0" fontId="141" fillId="0" borderId="0" xfId="0" applyFont="1" applyAlignment="1" applyProtection="1">
      <alignment horizontal="left" vertical="center" wrapText="1"/>
    </xf>
    <xf numFmtId="0" fontId="141" fillId="0" borderId="0" xfId="207" applyFont="1" applyBorder="1" applyAlignment="1" applyProtection="1">
      <alignment horizontal="center"/>
    </xf>
    <xf numFmtId="3" fontId="141" fillId="0" borderId="0" xfId="207" applyNumberFormat="1" applyFont="1" applyAlignment="1" applyProtection="1">
      <alignment horizontal="center"/>
    </xf>
    <xf numFmtId="0" fontId="6" fillId="0" borderId="0" xfId="258" applyFont="1" applyAlignment="1" applyProtection="1">
      <alignment horizontal="left" wrapText="1"/>
    </xf>
    <xf numFmtId="0" fontId="103" fillId="0" borderId="0" xfId="258" applyFont="1" applyAlignment="1" applyProtection="1">
      <alignment horizontal="center"/>
    </xf>
    <xf numFmtId="0" fontId="103" fillId="0" borderId="0" xfId="258" applyFont="1" applyFill="1" applyAlignment="1" applyProtection="1">
      <alignment horizontal="center"/>
    </xf>
    <xf numFmtId="3" fontId="103" fillId="0" borderId="0" xfId="258" applyNumberFormat="1" applyFont="1" applyAlignment="1" applyProtection="1">
      <alignment horizontal="center"/>
    </xf>
    <xf numFmtId="0" fontId="4" fillId="0" borderId="11" xfId="258" applyFont="1" applyFill="1" applyBorder="1" applyAlignment="1" applyProtection="1">
      <alignment wrapText="1"/>
    </xf>
    <xf numFmtId="0" fontId="3" fillId="0" borderId="11" xfId="0" applyFont="1" applyFill="1" applyBorder="1" applyAlignment="1" applyProtection="1">
      <alignment wrapText="1"/>
    </xf>
    <xf numFmtId="0" fontId="13" fillId="0" borderId="0" xfId="248" applyFont="1" applyFill="1" applyAlignment="1" applyProtection="1">
      <alignment horizontal="left" vertical="top" wrapText="1"/>
    </xf>
    <xf numFmtId="0" fontId="10" fillId="0" borderId="0" xfId="262" applyFont="1" applyAlignment="1" applyProtection="1">
      <alignment horizontal="center"/>
    </xf>
    <xf numFmtId="0" fontId="7" fillId="0" borderId="0" xfId="0" applyFont="1" applyFill="1" applyAlignment="1" applyProtection="1">
      <alignment horizontal="center"/>
    </xf>
    <xf numFmtId="0" fontId="78" fillId="0" borderId="0" xfId="0" applyFont="1" applyAlignment="1" applyProtection="1">
      <alignment horizontal="center"/>
    </xf>
    <xf numFmtId="0" fontId="123" fillId="0" borderId="0" xfId="0" applyFont="1" applyFill="1" applyAlignment="1" applyProtection="1">
      <alignment horizontal="left" wrapText="1"/>
    </xf>
  </cellXfs>
  <cellStyles count="341">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33" xr:uid="{F722B258-2A03-4B84-BD61-2D843874AC0A}"/>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4" xfId="332" xr:uid="{590F8986-CF46-4DE0-8FA4-16D7E5195F40}"/>
    <cellStyle name="Normal 2 5" xfId="187" xr:uid="{00000000-0005-0000-0000-0000BB000000}"/>
    <cellStyle name="Normal 2 5 2" xfId="188" xr:uid="{00000000-0005-0000-0000-0000BC000000}"/>
    <cellStyle name="Normal 2 6" xfId="339" xr:uid="{4AC204FE-8D63-4B04-BD10-8898E93A5838}"/>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0" xfId="340" xr:uid="{0D3A4A4D-BD8E-4E37-8A73-48374D7AFF8A}"/>
    <cellStyle name="Normal 31 2" xfId="210" xr:uid="{00000000-0005-0000-0000-0000D2000000}"/>
    <cellStyle name="Normal 31 2 2" xfId="334" xr:uid="{3F57D536-7ABF-47BD-923B-4208BEC66172}"/>
    <cellStyle name="Normal 4" xfId="211" xr:uid="{00000000-0005-0000-0000-0000D3000000}"/>
    <cellStyle name="Normal 4 2" xfId="212" xr:uid="{00000000-0005-0000-0000-0000D4000000}"/>
    <cellStyle name="Normal 4 3" xfId="213" xr:uid="{00000000-0005-0000-0000-0000D5000000}"/>
    <cellStyle name="Normal 4 3 2" xfId="214" xr:uid="{00000000-0005-0000-0000-0000D6000000}"/>
    <cellStyle name="Normal 4 3 3" xfId="215" xr:uid="{00000000-0005-0000-0000-0000D7000000}"/>
    <cellStyle name="Normal 4 4" xfId="216" xr:uid="{00000000-0005-0000-0000-0000D8000000}"/>
    <cellStyle name="Normal 4 4 2" xfId="217" xr:uid="{00000000-0005-0000-0000-0000D9000000}"/>
    <cellStyle name="Normal 4 4 3" xfId="218" xr:uid="{00000000-0005-0000-0000-0000DA000000}"/>
    <cellStyle name="Normal 4 5" xfId="219" xr:uid="{00000000-0005-0000-0000-0000DB000000}"/>
    <cellStyle name="Normal 4 5 2" xfId="220" xr:uid="{00000000-0005-0000-0000-0000DC000000}"/>
    <cellStyle name="Normal 4 6" xfId="221" xr:uid="{00000000-0005-0000-0000-0000DD000000}"/>
    <cellStyle name="Normal 4 7" xfId="222" xr:uid="{00000000-0005-0000-0000-0000DE000000}"/>
    <cellStyle name="Normal 4_PBOP Exhibit 1" xfId="223" xr:uid="{00000000-0005-0000-0000-0000DF000000}"/>
    <cellStyle name="Normal 5" xfId="335" xr:uid="{3C26DD9C-D880-4190-9491-F6A9B1AB76FF}"/>
    <cellStyle name="Normal 5 2" xfId="224" xr:uid="{00000000-0005-0000-0000-0000E0000000}"/>
    <cellStyle name="Normal 5 2 2" xfId="225" xr:uid="{00000000-0005-0000-0000-0000E1000000}"/>
    <cellStyle name="Normal 5 2 3" xfId="226" xr:uid="{00000000-0005-0000-0000-0000E2000000}"/>
    <cellStyle name="Normal 5 3" xfId="227" xr:uid="{00000000-0005-0000-0000-0000E3000000}"/>
    <cellStyle name="Normal 5 4" xfId="228" xr:uid="{00000000-0005-0000-0000-0000E4000000}"/>
    <cellStyle name="Normal 5 4 2" xfId="229" xr:uid="{00000000-0005-0000-0000-0000E5000000}"/>
    <cellStyle name="Normal 6" xfId="338" xr:uid="{F82C82C8-6611-4FB8-8430-47E5B4C513C8}"/>
    <cellStyle name="Normal 6 2" xfId="230" xr:uid="{00000000-0005-0000-0000-0000E6000000}"/>
    <cellStyle name="Normal 6 2 2" xfId="231" xr:uid="{00000000-0005-0000-0000-0000E7000000}"/>
    <cellStyle name="Normal 6 2 3" xfId="232" xr:uid="{00000000-0005-0000-0000-0000E8000000}"/>
    <cellStyle name="Normal 6 2 4" xfId="233" xr:uid="{00000000-0005-0000-0000-0000E9000000}"/>
    <cellStyle name="Normal 6 3" xfId="234" xr:uid="{00000000-0005-0000-0000-0000EA000000}"/>
    <cellStyle name="Normal 6 3 2" xfId="235" xr:uid="{00000000-0005-0000-0000-0000EB000000}"/>
    <cellStyle name="Normal 6 4" xfId="236" xr:uid="{00000000-0005-0000-0000-0000EC000000}"/>
    <cellStyle name="Normal 6 5" xfId="237" xr:uid="{00000000-0005-0000-0000-0000ED000000}"/>
    <cellStyle name="Normal 7" xfId="238" xr:uid="{00000000-0005-0000-0000-0000EE000000}"/>
    <cellStyle name="Normal 7 2" xfId="239" xr:uid="{00000000-0005-0000-0000-0000EF000000}"/>
    <cellStyle name="Normal 7 3" xfId="240" xr:uid="{00000000-0005-0000-0000-0000F0000000}"/>
    <cellStyle name="Normal 8" xfId="241" xr:uid="{00000000-0005-0000-0000-0000F1000000}"/>
    <cellStyle name="Normal 8 2" xfId="242" xr:uid="{00000000-0005-0000-0000-0000F2000000}"/>
    <cellStyle name="Normal 8 3" xfId="243" xr:uid="{00000000-0005-0000-0000-0000F3000000}"/>
    <cellStyle name="Normal 9" xfId="244" xr:uid="{00000000-0005-0000-0000-0000F4000000}"/>
    <cellStyle name="Normal 9 2" xfId="245" xr:uid="{00000000-0005-0000-0000-0000F5000000}"/>
    <cellStyle name="Normal 9 3" xfId="246" xr:uid="{00000000-0005-0000-0000-0000F6000000}"/>
    <cellStyle name="Normal_21 Exh B" xfId="247" xr:uid="{00000000-0005-0000-0000-0000F7000000}"/>
    <cellStyle name="Normal_ADITAnalysisID090805" xfId="248" xr:uid="{00000000-0005-0000-0000-0000F8000000}"/>
    <cellStyle name="Normal_ADITAnalysisID090805 2" xfId="249" xr:uid="{00000000-0005-0000-0000-0000F9000000}"/>
    <cellStyle name="Normal_ADITAnalysisID090805 2 2" xfId="250" xr:uid="{00000000-0005-0000-0000-0000FA000000}"/>
    <cellStyle name="Normal_ADITAnalysisID090805 2 3" xfId="336" xr:uid="{DC98CF40-9DC3-47A3-B511-9ADD8CBC21D1}"/>
    <cellStyle name="Normal_ADITAnalysisID090805 3" xfId="251" xr:uid="{00000000-0005-0000-0000-0000FB000000}"/>
    <cellStyle name="Normal_ATC Projected 2008 Monthly Plant Balances for Attachment O 2 (2)" xfId="252" xr:uid="{00000000-0005-0000-0000-0000FC000000}"/>
    <cellStyle name="Normal_AU Period 2 Rev 4-27-00" xfId="253" xr:uid="{00000000-0005-0000-0000-0000FD000000}"/>
    <cellStyle name="Normal_Copy of PATH Formula Rate 2010 Projection Filed Sept 1, 2009 R1" xfId="254" xr:uid="{00000000-0005-0000-0000-0000FE000000}"/>
    <cellStyle name="Normal_FN1 Ratebase Draft SPP template (6-11-04) v2" xfId="255" xr:uid="{00000000-0005-0000-0000-0000FF000000}"/>
    <cellStyle name="Normal_I&amp;M-AK-1" xfId="256" xr:uid="{00000000-0005-0000-0000-000000010000}"/>
    <cellStyle name="Normal_IM LTD Hedge Entries 2" xfId="257" xr:uid="{00000000-0005-0000-0000-000001010000}"/>
    <cellStyle name="Normal_Revised 1-21-10  Deprec Summary" xfId="258" xr:uid="{00000000-0005-0000-0000-000002010000}"/>
    <cellStyle name="Normal_Schedule O Info for Mike" xfId="259" xr:uid="{00000000-0005-0000-0000-000003010000}"/>
    <cellStyle name="Normal_spp calc - revsd rev crd" xfId="260" xr:uid="{00000000-0005-0000-0000-000004010000}"/>
    <cellStyle name="Normal_spp calc - revsd rev crd 2" xfId="261" xr:uid="{00000000-0005-0000-0000-000005010000}"/>
    <cellStyle name="Normal_Worksheet Q Draft dwb edits" xfId="262" xr:uid="{00000000-0005-0000-0000-000006010000}"/>
    <cellStyle name="Note" xfId="263" builtinId="10" customBuiltin="1"/>
    <cellStyle name="Note 2" xfId="264" xr:uid="{00000000-0005-0000-0000-000008010000}"/>
    <cellStyle name="Output" xfId="265" builtinId="21" customBuiltin="1"/>
    <cellStyle name="Output 2" xfId="266" xr:uid="{00000000-0005-0000-0000-00000A010000}"/>
    <cellStyle name="Percent" xfId="267" builtinId="5"/>
    <cellStyle name="Percent 2" xfId="268" xr:uid="{00000000-0005-0000-0000-00000C010000}"/>
    <cellStyle name="Percent 2 2" xfId="269" xr:uid="{00000000-0005-0000-0000-00000D010000}"/>
    <cellStyle name="Percent 3" xfId="270" xr:uid="{00000000-0005-0000-0000-00000E010000}"/>
    <cellStyle name="Percent 3 2" xfId="271" xr:uid="{00000000-0005-0000-0000-00000F010000}"/>
    <cellStyle name="Percent 3 2 2" xfId="337" xr:uid="{6FABD1EF-BCD4-4214-836C-DEC38BA36F71}"/>
    <cellStyle name="Percent 3 3" xfId="272" xr:uid="{00000000-0005-0000-0000-000010010000}"/>
    <cellStyle name="Percent 3 3 2" xfId="273" xr:uid="{00000000-0005-0000-0000-000011010000}"/>
    <cellStyle name="Percent 3 3 3" xfId="274" xr:uid="{00000000-0005-0000-0000-000012010000}"/>
    <cellStyle name="Percent 3 4" xfId="275" xr:uid="{00000000-0005-0000-0000-000013010000}"/>
    <cellStyle name="Percent 3 4 2" xfId="276" xr:uid="{00000000-0005-0000-0000-000014010000}"/>
    <cellStyle name="Percent 3 4 3" xfId="277" xr:uid="{00000000-0005-0000-0000-000015010000}"/>
    <cellStyle name="Percent 3 5" xfId="278" xr:uid="{00000000-0005-0000-0000-000016010000}"/>
    <cellStyle name="Percent 3 5 2" xfId="279" xr:uid="{00000000-0005-0000-0000-000017010000}"/>
    <cellStyle name="Percent 3 6" xfId="280" xr:uid="{00000000-0005-0000-0000-000018010000}"/>
    <cellStyle name="Percent 4 2" xfId="281" xr:uid="{00000000-0005-0000-0000-000019010000}"/>
    <cellStyle name="Percent 4 3" xfId="282" xr:uid="{00000000-0005-0000-0000-00001A010000}"/>
    <cellStyle name="Percent 4 3 2" xfId="283" xr:uid="{00000000-0005-0000-0000-00001B010000}"/>
    <cellStyle name="Percent 4 4" xfId="284" xr:uid="{00000000-0005-0000-0000-00001C010000}"/>
    <cellStyle name="Percent 5 2" xfId="285" xr:uid="{00000000-0005-0000-0000-00001D010000}"/>
    <cellStyle name="Percent 6" xfId="286" xr:uid="{00000000-0005-0000-0000-00001E010000}"/>
    <cellStyle name="PSChar" xfId="287" xr:uid="{00000000-0005-0000-0000-00001F010000}"/>
    <cellStyle name="PSDate" xfId="288" xr:uid="{00000000-0005-0000-0000-000020010000}"/>
    <cellStyle name="PSDec" xfId="289" xr:uid="{00000000-0005-0000-0000-000021010000}"/>
    <cellStyle name="PSdesc" xfId="290" xr:uid="{00000000-0005-0000-0000-000022010000}"/>
    <cellStyle name="PSHeading" xfId="291" xr:uid="{00000000-0005-0000-0000-000023010000}"/>
    <cellStyle name="PSInt" xfId="292" xr:uid="{00000000-0005-0000-0000-000024010000}"/>
    <cellStyle name="PSSpacer" xfId="293" xr:uid="{00000000-0005-0000-0000-000025010000}"/>
    <cellStyle name="PStest" xfId="294" xr:uid="{00000000-0005-0000-0000-000026010000}"/>
    <cellStyle name="R00A" xfId="295" xr:uid="{00000000-0005-0000-0000-000027010000}"/>
    <cellStyle name="R00B" xfId="296" xr:uid="{00000000-0005-0000-0000-000028010000}"/>
    <cellStyle name="R00L" xfId="297" xr:uid="{00000000-0005-0000-0000-000029010000}"/>
    <cellStyle name="R01A" xfId="298" xr:uid="{00000000-0005-0000-0000-00002A010000}"/>
    <cellStyle name="R01B" xfId="299" xr:uid="{00000000-0005-0000-0000-00002B010000}"/>
    <cellStyle name="R01H" xfId="300" xr:uid="{00000000-0005-0000-0000-00002C010000}"/>
    <cellStyle name="R01L" xfId="301" xr:uid="{00000000-0005-0000-0000-00002D010000}"/>
    <cellStyle name="R02A" xfId="302" xr:uid="{00000000-0005-0000-0000-00002E010000}"/>
    <cellStyle name="R02B" xfId="303" xr:uid="{00000000-0005-0000-0000-00002F010000}"/>
    <cellStyle name="R02H" xfId="304" xr:uid="{00000000-0005-0000-0000-000030010000}"/>
    <cellStyle name="R02L" xfId="305" xr:uid="{00000000-0005-0000-0000-000031010000}"/>
    <cellStyle name="R03A" xfId="306" xr:uid="{00000000-0005-0000-0000-000032010000}"/>
    <cellStyle name="R03B" xfId="307" xr:uid="{00000000-0005-0000-0000-000033010000}"/>
    <cellStyle name="R03H" xfId="308" xr:uid="{00000000-0005-0000-0000-000034010000}"/>
    <cellStyle name="R03L" xfId="309" xr:uid="{00000000-0005-0000-0000-000035010000}"/>
    <cellStyle name="R04A" xfId="310" xr:uid="{00000000-0005-0000-0000-000036010000}"/>
    <cellStyle name="R04B" xfId="311" xr:uid="{00000000-0005-0000-0000-000037010000}"/>
    <cellStyle name="R04H" xfId="312" xr:uid="{00000000-0005-0000-0000-000038010000}"/>
    <cellStyle name="R04L" xfId="313" xr:uid="{00000000-0005-0000-0000-000039010000}"/>
    <cellStyle name="R05A" xfId="314" xr:uid="{00000000-0005-0000-0000-00003A010000}"/>
    <cellStyle name="R05B" xfId="315" xr:uid="{00000000-0005-0000-0000-00003B010000}"/>
    <cellStyle name="R05H" xfId="316" xr:uid="{00000000-0005-0000-0000-00003C010000}"/>
    <cellStyle name="R05L" xfId="317" xr:uid="{00000000-0005-0000-0000-00003D010000}"/>
    <cellStyle name="R06A" xfId="318" xr:uid="{00000000-0005-0000-0000-00003E010000}"/>
    <cellStyle name="R06B" xfId="319" xr:uid="{00000000-0005-0000-0000-00003F010000}"/>
    <cellStyle name="R06H" xfId="320" xr:uid="{00000000-0005-0000-0000-000040010000}"/>
    <cellStyle name="R06L" xfId="321" xr:uid="{00000000-0005-0000-0000-000041010000}"/>
    <cellStyle name="R07A" xfId="322" xr:uid="{00000000-0005-0000-0000-000042010000}"/>
    <cellStyle name="R07B" xfId="323" xr:uid="{00000000-0005-0000-0000-000043010000}"/>
    <cellStyle name="R07H" xfId="324" xr:uid="{00000000-0005-0000-0000-000044010000}"/>
    <cellStyle name="R07L" xfId="325" xr:uid="{00000000-0005-0000-0000-000045010000}"/>
    <cellStyle name="Title" xfId="326" builtinId="15" customBuiltin="1"/>
    <cellStyle name="Title 2" xfId="327" xr:uid="{00000000-0005-0000-0000-000047010000}"/>
    <cellStyle name="Total" xfId="328" builtinId="25" customBuiltin="1"/>
    <cellStyle name="Total 2" xfId="329" xr:uid="{00000000-0005-0000-0000-000049010000}"/>
    <cellStyle name="Warning Text" xfId="330" builtinId="11" customBuiltin="1"/>
    <cellStyle name="Warning Text 2" xfId="331" xr:uid="{00000000-0005-0000-0000-00004B010000}"/>
  </cellStyles>
  <dxfs count="108">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60" zoomScaleNormal="70" zoomScalePageLayoutView="50" workbookViewId="0">
      <selection activeCell="H18" sqref="H18"/>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0"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row>
    <row r="2" spans="1:16" ht="15.75">
      <c r="A2" s="1006"/>
    </row>
    <row r="3" spans="1:16" ht="15.75">
      <c r="D3" s="156"/>
      <c r="E3" s="157"/>
      <c r="F3" s="157"/>
      <c r="G3" s="158"/>
      <c r="I3" s="159"/>
      <c r="J3" s="159"/>
      <c r="K3" s="159"/>
      <c r="L3" s="160"/>
      <c r="N3" s="155" t="s">
        <v>406</v>
      </c>
      <c r="O3" s="161" t="s">
        <v>406</v>
      </c>
      <c r="P3" s="155" t="s">
        <v>406</v>
      </c>
    </row>
    <row r="4" spans="1:16">
      <c r="I4" s="155" t="s">
        <v>546</v>
      </c>
      <c r="L4" s="421">
        <v>2025</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822</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459</v>
      </c>
      <c r="C11" s="171"/>
      <c r="D11" s="165"/>
      <c r="E11" s="165"/>
      <c r="F11" s="165"/>
      <c r="G11" s="175"/>
      <c r="H11" s="165"/>
      <c r="I11" s="165"/>
      <c r="J11" s="165"/>
      <c r="K11" s="165"/>
      <c r="L11" s="171" t="s">
        <v>407</v>
      </c>
      <c r="M11" s="165"/>
    </row>
    <row r="12" spans="1:16" ht="15.75" thickBot="1">
      <c r="B12" s="177" t="s">
        <v>409</v>
      </c>
      <c r="C12" s="178"/>
      <c r="D12" s="165"/>
      <c r="E12" s="178"/>
      <c r="F12" s="165"/>
      <c r="G12" s="165"/>
      <c r="H12" s="165"/>
      <c r="I12" s="165"/>
      <c r="J12" s="165"/>
      <c r="K12" s="165"/>
      <c r="L12" s="179" t="s">
        <v>460</v>
      </c>
      <c r="M12" s="165"/>
    </row>
    <row r="13" spans="1:16">
      <c r="B13" s="170">
        <v>1</v>
      </c>
      <c r="C13" s="171"/>
      <c r="D13" s="180" t="s">
        <v>403</v>
      </c>
      <c r="E13" s="181" t="str">
        <f>"(ln "&amp;B191&amp;")"</f>
        <v>(ln 113)</v>
      </c>
      <c r="F13" s="181"/>
      <c r="G13" s="182"/>
      <c r="H13" s="183"/>
      <c r="I13" s="165"/>
      <c r="J13" s="165"/>
      <c r="K13" s="165"/>
      <c r="L13" s="184">
        <f>+L191</f>
        <v>356061928.80645388</v>
      </c>
      <c r="M13" s="165"/>
    </row>
    <row r="14" spans="1:16" ht="15.75" thickBot="1">
      <c r="B14" s="170"/>
      <c r="C14" s="171"/>
      <c r="E14" s="185"/>
      <c r="F14" s="186"/>
      <c r="G14" s="179" t="s">
        <v>410</v>
      </c>
      <c r="H14" s="168"/>
      <c r="I14" s="187" t="s">
        <v>411</v>
      </c>
      <c r="J14" s="187"/>
      <c r="K14" s="165"/>
      <c r="L14" s="182"/>
      <c r="M14" s="165"/>
    </row>
    <row r="15" spans="1:16">
      <c r="B15" s="170">
        <f>+B13+1</f>
        <v>2</v>
      </c>
      <c r="C15" s="171"/>
      <c r="D15" s="188" t="s">
        <v>458</v>
      </c>
      <c r="E15" s="185" t="str">
        <f>"(Worksheet E,  ln  "&amp;'WS E Rev Credits'!A31&amp;") (Note A) "</f>
        <v xml:space="preserve">(Worksheet E,  ln  8) (Note A) </v>
      </c>
      <c r="F15" s="186"/>
      <c r="G15" s="189">
        <f>+'WS E Rev Credits'!K31</f>
        <v>6188430.7150999997</v>
      </c>
      <c r="H15" s="186"/>
      <c r="I15" s="190" t="s">
        <v>420</v>
      </c>
      <c r="J15" s="191">
        <v>1</v>
      </c>
      <c r="K15" s="168"/>
      <c r="L15" s="192">
        <f>+J15*G15</f>
        <v>6188430.7150999997</v>
      </c>
      <c r="M15" s="165"/>
    </row>
    <row r="16" spans="1:16">
      <c r="B16" s="170"/>
      <c r="C16" s="171"/>
      <c r="D16" s="188"/>
      <c r="E16" s="185"/>
      <c r="F16" s="186"/>
      <c r="G16" s="189"/>
      <c r="H16" s="186"/>
      <c r="I16" s="190"/>
      <c r="J16" s="191"/>
      <c r="K16" s="168"/>
      <c r="L16" s="192"/>
      <c r="M16" s="165"/>
    </row>
    <row r="17" spans="2:13">
      <c r="B17" s="193">
        <f>+B15+1</f>
        <v>3</v>
      </c>
      <c r="C17" s="171"/>
      <c r="D17" s="188" t="s">
        <v>547</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349873498.09135389</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66"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66"/>
      <c r="D21" s="1466"/>
      <c r="E21" s="1466"/>
      <c r="F21" s="1466"/>
      <c r="G21" s="1466"/>
      <c r="H21" s="1466"/>
      <c r="I21" s="1466"/>
    </row>
    <row r="22" spans="2:13" ht="35.25" customHeight="1">
      <c r="B22" s="1466"/>
      <c r="C22" s="1466"/>
      <c r="D22" s="1466"/>
      <c r="E22" s="1466"/>
      <c r="F22" s="1466"/>
      <c r="G22" s="1466"/>
      <c r="H22" s="1466"/>
      <c r="I22" s="1466"/>
    </row>
    <row r="23" spans="2:13" ht="15" customHeight="1">
      <c r="B23" s="200"/>
      <c r="C23" s="200"/>
      <c r="D23" s="200"/>
      <c r="E23" s="200"/>
      <c r="F23" s="200"/>
      <c r="G23" s="200"/>
      <c r="H23" s="200"/>
      <c r="I23" s="200"/>
    </row>
    <row r="24" spans="2:13">
      <c r="B24" s="170">
        <f>+B18+1</f>
        <v>5</v>
      </c>
      <c r="C24" s="194"/>
      <c r="D24" s="201" t="s">
        <v>548</v>
      </c>
      <c r="E24" s="185"/>
      <c r="F24" s="186"/>
      <c r="G24" s="1245">
        <f>+'WS J PROJECTED RTEP RR'!M26</f>
        <v>49352636.364293709</v>
      </c>
      <c r="H24" s="186"/>
      <c r="I24" s="190" t="s">
        <v>420</v>
      </c>
      <c r="J24" s="191">
        <v>1</v>
      </c>
      <c r="K24" s="181"/>
      <c r="L24" s="202">
        <f>+J24*G24</f>
        <v>49352636.364293709</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0.14263481824272742</v>
      </c>
      <c r="M27" s="165"/>
    </row>
    <row r="28" spans="2:13">
      <c r="B28" s="170">
        <f>B27+1</f>
        <v>8</v>
      </c>
      <c r="C28" s="194"/>
      <c r="D28" s="205" t="s">
        <v>42</v>
      </c>
      <c r="E28" s="181" t="str">
        <f>"(ln "&amp;B27&amp;" / 12)"</f>
        <v>(ln 7 / 12)</v>
      </c>
      <c r="F28" s="171"/>
      <c r="G28" s="171"/>
      <c r="H28" s="171"/>
      <c r="I28" s="206"/>
      <c r="J28" s="206"/>
      <c r="K28" s="206"/>
      <c r="L28" s="208">
        <f>L27/12</f>
        <v>1.1886234853560619E-2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0.11318296473052861</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2.3154349237902161E-2</v>
      </c>
      <c r="M34" s="173"/>
    </row>
    <row r="35" spans="2:13">
      <c r="B35" s="170"/>
      <c r="C35" s="194"/>
      <c r="D35" s="162"/>
      <c r="E35" s="181"/>
      <c r="F35" s="171"/>
      <c r="G35" s="171"/>
      <c r="H35" s="171"/>
      <c r="I35" s="206"/>
      <c r="J35" s="206"/>
      <c r="K35" s="206"/>
      <c r="L35" s="207"/>
      <c r="M35" s="211"/>
    </row>
    <row r="36" spans="2:13">
      <c r="B36" s="170">
        <f>B34+1</f>
        <v>13</v>
      </c>
      <c r="C36" s="171"/>
      <c r="D36" s="212" t="s">
        <v>549</v>
      </c>
      <c r="E36" s="181"/>
      <c r="F36" s="171"/>
      <c r="G36" s="171"/>
      <c r="H36" s="171"/>
      <c r="I36" s="206"/>
      <c r="J36" s="206"/>
      <c r="K36" s="206"/>
      <c r="L36" s="419">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72" t="s">
        <v>207</v>
      </c>
      <c r="E39" s="1472"/>
      <c r="F39" s="1472"/>
      <c r="G39" s="1472"/>
      <c r="H39" s="1472"/>
      <c r="I39" s="1472"/>
      <c r="J39" s="1472"/>
      <c r="K39" s="1472"/>
      <c r="L39" s="1472"/>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2098761.1139321397</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2098761.1139321397</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West Virginia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413</v>
      </c>
      <c r="E57" s="171" t="s">
        <v>414</v>
      </c>
      <c r="F57" s="171"/>
      <c r="G57" s="171" t="s">
        <v>415</v>
      </c>
      <c r="H57" s="168" t="s">
        <v>406</v>
      </c>
      <c r="I57" s="1467" t="s">
        <v>416</v>
      </c>
      <c r="J57" s="1468"/>
      <c r="K57" s="168"/>
      <c r="L57" s="172" t="s">
        <v>417</v>
      </c>
      <c r="M57" s="168"/>
    </row>
    <row r="58" spans="2:16">
      <c r="B58" s="155"/>
      <c r="D58" s="209"/>
      <c r="E58" s="209"/>
      <c r="F58" s="209"/>
      <c r="G58" s="213"/>
      <c r="H58" s="168"/>
      <c r="I58" s="168"/>
      <c r="J58" s="221"/>
      <c r="K58" s="168"/>
      <c r="M58" s="168"/>
    </row>
    <row r="59" spans="2:16" ht="15.75">
      <c r="B59" s="222"/>
      <c r="C59" s="171"/>
      <c r="D59" s="209"/>
      <c r="E59" s="223" t="s">
        <v>386</v>
      </c>
      <c r="F59" s="224"/>
      <c r="G59" s="168"/>
      <c r="H59" s="168"/>
      <c r="I59" s="168"/>
      <c r="J59" s="171"/>
      <c r="K59" s="168"/>
      <c r="L59" s="225" t="s">
        <v>410</v>
      </c>
      <c r="M59" s="168"/>
      <c r="P59" s="216"/>
    </row>
    <row r="60" spans="2:16" ht="15.75">
      <c r="B60" s="155"/>
      <c r="C60" s="178"/>
      <c r="D60" s="226" t="s">
        <v>385</v>
      </c>
      <c r="E60" s="227" t="s">
        <v>404</v>
      </c>
      <c r="F60" s="168"/>
      <c r="G60" s="226" t="s">
        <v>372</v>
      </c>
      <c r="H60" s="228"/>
      <c r="I60" s="1469" t="s">
        <v>411</v>
      </c>
      <c r="J60" s="1470"/>
      <c r="K60" s="228"/>
      <c r="L60" s="226" t="s">
        <v>407</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373</v>
      </c>
      <c r="E62" s="231"/>
      <c r="F62" s="231"/>
      <c r="G62" s="186"/>
      <c r="H62" s="186"/>
      <c r="I62" s="190"/>
      <c r="J62" s="186"/>
      <c r="K62" s="186"/>
      <c r="L62" s="186"/>
      <c r="M62" s="168"/>
    </row>
    <row r="63" spans="2:16">
      <c r="B63" s="170">
        <f>+B45+1</f>
        <v>19</v>
      </c>
      <c r="C63" s="233"/>
      <c r="D63" s="234" t="s">
        <v>419</v>
      </c>
      <c r="E63" s="186" t="str">
        <f>"(Worksheet A ln "&amp;'WS A - Rate Base Support'!A23&amp;"."&amp;'WS A - Rate Base Support'!C8 &amp;" &amp; Ln "&amp;B207&amp;")"</f>
        <v>(Worksheet A ln 14.(d) &amp; Ln 117)</v>
      </c>
      <c r="F63" s="235"/>
      <c r="G63" s="203">
        <f>'WS A - Rate Base Support'!C23</f>
        <v>2821927091.4255648</v>
      </c>
      <c r="H63" s="203"/>
      <c r="I63" s="236" t="s">
        <v>420</v>
      </c>
      <c r="J63" s="191"/>
      <c r="K63" s="237"/>
      <c r="L63" s="238">
        <f>+L207</f>
        <v>2821927091.4255648</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412</v>
      </c>
      <c r="J64" s="191">
        <f>J134</f>
        <v>1</v>
      </c>
      <c r="K64" s="237"/>
      <c r="L64" s="238">
        <f>+G64*J64</f>
        <v>0</v>
      </c>
      <c r="M64" s="239"/>
    </row>
    <row r="65" spans="2:15">
      <c r="B65" s="170">
        <f>+B64+1</f>
        <v>21</v>
      </c>
      <c r="C65" s="233"/>
      <c r="D65" s="162" t="s">
        <v>421</v>
      </c>
      <c r="E65" s="186" t="str">
        <f>"(Worksheet A ln "&amp;'WS A - Rate Base Support'!A23&amp;"."&amp;'WS A - Rate Base Support'!E8 &amp;")"</f>
        <v>(Worksheet A ln 14.(h))</v>
      </c>
      <c r="F65" s="186"/>
      <c r="G65" s="203">
        <f>'WS A - Rate Base Support'!E23</f>
        <v>59615446.706875697</v>
      </c>
      <c r="H65" s="203"/>
      <c r="I65" s="190" t="s">
        <v>422</v>
      </c>
      <c r="J65" s="191">
        <f>L219</f>
        <v>1</v>
      </c>
      <c r="K65" s="186"/>
      <c r="L65" s="203">
        <f>+J65*G65</f>
        <v>59615446.706875697</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422</v>
      </c>
      <c r="J66" s="191">
        <f>L219</f>
        <v>1</v>
      </c>
      <c r="K66" s="186"/>
      <c r="L66" s="203">
        <f>+G66*J66</f>
        <v>0</v>
      </c>
      <c r="M66" s="168"/>
    </row>
    <row r="67" spans="2:15" ht="15.75" thickBot="1">
      <c r="B67" s="170">
        <f>+B66+1</f>
        <v>23</v>
      </c>
      <c r="C67" s="233"/>
      <c r="D67" s="162" t="s">
        <v>423</v>
      </c>
      <c r="E67" s="186" t="str">
        <f>"(Worksheet A ln "&amp;'WS A - Rate Base Support'!A23&amp;"."&amp;'WS A - Rate Base Support'!G8 &amp;")"</f>
        <v>(Worksheet A ln 14.(j))</v>
      </c>
      <c r="F67" s="186"/>
      <c r="G67" s="242">
        <f>'WS A - Rate Base Support'!G23</f>
        <v>33317498.204910062</v>
      </c>
      <c r="H67" s="203"/>
      <c r="I67" s="190" t="s">
        <v>422</v>
      </c>
      <c r="J67" s="191">
        <f>L219</f>
        <v>1</v>
      </c>
      <c r="K67" s="186"/>
      <c r="L67" s="242">
        <f>+J67*G67</f>
        <v>33317498.204910062</v>
      </c>
      <c r="M67" s="168"/>
      <c r="N67" s="162"/>
      <c r="O67" s="162"/>
    </row>
    <row r="68" spans="2:15" ht="15.75">
      <c r="B68" s="170">
        <f>+B67+1</f>
        <v>24</v>
      </c>
      <c r="C68" s="233"/>
      <c r="D68" s="162" t="s">
        <v>371</v>
      </c>
      <c r="E68" s="186" t="str">
        <f>"(Sum of Lines: "&amp;B63&amp;" to "&amp;B67&amp;")"</f>
        <v>(Sum of Lines: 19 to 23)</v>
      </c>
      <c r="F68" s="243"/>
      <c r="G68" s="203">
        <f>SUM(G63:G67)</f>
        <v>2914860036.3373508</v>
      </c>
      <c r="H68" s="203"/>
      <c r="I68" s="244" t="s">
        <v>760</v>
      </c>
      <c r="J68" s="245">
        <f>IF(G68=0,0,L68/G68)</f>
        <v>1</v>
      </c>
      <c r="K68" s="186"/>
      <c r="L68" s="203">
        <f>SUM(L63:L67)</f>
        <v>2914860036.3373508</v>
      </c>
      <c r="M68" s="168"/>
      <c r="N68" s="162"/>
      <c r="O68" s="162"/>
    </row>
    <row r="69" spans="2:15" ht="15.75">
      <c r="B69" s="170"/>
      <c r="C69" s="171"/>
      <c r="D69" s="162"/>
      <c r="E69" s="1237"/>
      <c r="F69" s="243"/>
      <c r="G69" s="203"/>
      <c r="H69" s="203"/>
      <c r="I69" s="244" t="s">
        <v>498</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325608638.51788205</v>
      </c>
      <c r="H71" s="203"/>
      <c r="I71" s="250" t="s">
        <v>420</v>
      </c>
      <c r="J71" s="251">
        <f>IF(G71=0,1,L71/G71)</f>
        <v>1</v>
      </c>
      <c r="K71" s="237"/>
      <c r="L71" s="203">
        <f>'WS A - Rate Base Support'!C64</f>
        <v>325608638.51788205</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412</v>
      </c>
      <c r="J72" s="191">
        <f>IF(I72="TP",L209,L71/G71)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3312707.1018689778</v>
      </c>
      <c r="H73" s="203"/>
      <c r="I73" s="190" t="s">
        <v>422</v>
      </c>
      <c r="J73" s="191">
        <f>L219</f>
        <v>1</v>
      </c>
      <c r="K73" s="186"/>
      <c r="L73" s="203">
        <f>+J73*G73</f>
        <v>3312707.1018689778</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422</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11683003.068966862</v>
      </c>
      <c r="H75" s="203"/>
      <c r="I75" s="190" t="s">
        <v>422</v>
      </c>
      <c r="J75" s="191">
        <f>L219</f>
        <v>1</v>
      </c>
      <c r="K75" s="186"/>
      <c r="L75" s="1160">
        <f>+J75*G75</f>
        <v>11683003.068966862</v>
      </c>
      <c r="M75" s="186"/>
      <c r="N75" s="168"/>
      <c r="O75" s="168"/>
    </row>
    <row r="76" spans="2:15">
      <c r="B76" s="170">
        <f t="shared" si="0"/>
        <v>31</v>
      </c>
      <c r="C76" s="252"/>
      <c r="D76" s="205" t="s">
        <v>370</v>
      </c>
      <c r="E76" s="186" t="str">
        <f>"(Sum of Lines: "&amp;B71&amp;" to "&amp;B75&amp;")"</f>
        <v>(Sum of Lines: 26 to 30)</v>
      </c>
      <c r="F76" s="253"/>
      <c r="G76" s="203">
        <f>SUM(G71:G75)</f>
        <v>340604348.6887179</v>
      </c>
      <c r="H76" s="203"/>
      <c r="I76" s="190"/>
      <c r="J76" s="186"/>
      <c r="K76" s="203"/>
      <c r="L76" s="203">
        <f>SUM(L71:L75)</f>
        <v>340604348.6887179</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2496318452.9076829</v>
      </c>
      <c r="H79" s="203"/>
      <c r="I79" s="190"/>
      <c r="J79" s="251"/>
      <c r="K79" s="186"/>
      <c r="L79" s="203">
        <f>+L63+L64-L71-L72</f>
        <v>2496318452.9076829</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56302739.605006717</v>
      </c>
      <c r="H80" s="203"/>
      <c r="I80" s="190"/>
      <c r="J80" s="255"/>
      <c r="K80" s="186"/>
      <c r="L80" s="203">
        <f>+L65+L66-L73-L74</f>
        <v>56302739.605006717</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21634495.1359432</v>
      </c>
      <c r="H81" s="203"/>
      <c r="I81" s="190"/>
      <c r="J81" s="255"/>
      <c r="K81" s="186"/>
      <c r="L81" s="242">
        <f>+L67-L75</f>
        <v>21634495.1359432</v>
      </c>
      <c r="M81" s="168"/>
      <c r="N81" s="168"/>
      <c r="O81" s="168"/>
    </row>
    <row r="82" spans="2:15" ht="15.75">
      <c r="B82" s="170">
        <f>+B81+1</f>
        <v>36</v>
      </c>
      <c r="C82" s="233"/>
      <c r="D82" s="241" t="s">
        <v>369</v>
      </c>
      <c r="E82" s="186" t="str">
        <f>"(Sum of Lines: "&amp;B79&amp;" to "&amp;B81&amp;")"</f>
        <v>(Sum of Lines: 33 to 35)</v>
      </c>
      <c r="F82" s="186"/>
      <c r="G82" s="203">
        <f>SUM(G79:G81)</f>
        <v>2574255687.648633</v>
      </c>
      <c r="H82" s="203"/>
      <c r="I82" s="259" t="s">
        <v>761</v>
      </c>
      <c r="J82" s="245">
        <f>IF(G82=0,0,+L82/G82)</f>
        <v>1</v>
      </c>
      <c r="K82" s="186"/>
      <c r="L82" s="203">
        <f>SUM(L79:L81)</f>
        <v>2574255687.648633</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475</v>
      </c>
      <c r="E86" s="186" t="str">
        <f>"(Worksheet B, ln "&amp;'WS B ADIT &amp; ITC'!A17&amp;" &amp; ln "&amp;'WS B ADIT &amp; ITC'!A20&amp;".E)"</f>
        <v>(Worksheet B, ln 2 &amp; ln 5.E)</v>
      </c>
      <c r="F86" s="186"/>
      <c r="G86" s="203">
        <f>'WS B ADIT &amp; ITC'!I17</f>
        <v>0</v>
      </c>
      <c r="H86" s="203"/>
      <c r="I86" s="190" t="s">
        <v>418</v>
      </c>
      <c r="J86" s="191"/>
      <c r="K86" s="186"/>
      <c r="L86" s="203">
        <f>'WS B ADIT &amp; ITC'!I20</f>
        <v>0</v>
      </c>
      <c r="M86" s="168"/>
      <c r="N86" s="168"/>
      <c r="O86" s="168"/>
    </row>
    <row r="87" spans="2:15">
      <c r="B87" s="170">
        <f t="shared" si="1"/>
        <v>39</v>
      </c>
      <c r="C87" s="233"/>
      <c r="D87" s="240" t="s">
        <v>476</v>
      </c>
      <c r="E87" s="186" t="str">
        <f>"(Worksheet B, ln "&amp;'WS B ADIT &amp; ITC'!A25&amp;" &amp; ln "&amp;'WS B ADIT &amp; ITC'!A28&amp;".E)"</f>
        <v>(Worksheet B, ln 7 &amp; ln 10.E)</v>
      </c>
      <c r="F87" s="186"/>
      <c r="G87" s="203">
        <f>-'WS B ADIT &amp; ITC'!I25</f>
        <v>-183552282.41721311</v>
      </c>
      <c r="H87" s="203"/>
      <c r="I87" s="190" t="s">
        <v>420</v>
      </c>
      <c r="J87" s="191"/>
      <c r="K87" s="186"/>
      <c r="L87" s="203">
        <f>-'WS B ADIT &amp; ITC'!I28</f>
        <v>-201744140.25865352</v>
      </c>
      <c r="M87" s="168"/>
      <c r="N87" s="168"/>
      <c r="O87" s="168"/>
    </row>
    <row r="88" spans="2:15">
      <c r="B88" s="170">
        <f t="shared" si="1"/>
        <v>40</v>
      </c>
      <c r="C88" s="233"/>
      <c r="D88" s="240" t="s">
        <v>477</v>
      </c>
      <c r="E88" s="186" t="str">
        <f>"(Worksheet B, ln "&amp;'WS B ADIT &amp; ITC'!A33&amp;" &amp; ln "&amp;'WS B ADIT &amp; ITC'!A36&amp;".E)"</f>
        <v>(Worksheet B, ln 12 &amp; ln 15.E)</v>
      </c>
      <c r="F88" s="186"/>
      <c r="G88" s="203">
        <f>-'WS B ADIT &amp; ITC'!I33</f>
        <v>-77618051.939892799</v>
      </c>
      <c r="H88" s="203"/>
      <c r="I88" s="190" t="s">
        <v>420</v>
      </c>
      <c r="J88" s="191"/>
      <c r="K88" s="186"/>
      <c r="L88" s="203">
        <f>-'WS B ADIT &amp; ITC'!I36</f>
        <v>-52229766.619892806</v>
      </c>
      <c r="M88" s="168"/>
      <c r="N88" s="168"/>
      <c r="O88" s="168"/>
    </row>
    <row r="89" spans="2:15">
      <c r="B89" s="170">
        <f t="shared" si="1"/>
        <v>41</v>
      </c>
      <c r="C89" s="233"/>
      <c r="D89" s="240" t="s">
        <v>478</v>
      </c>
      <c r="E89" s="186" t="str">
        <f>"(Worksheet B, ln "&amp;'WS B ADIT &amp; ITC'!A41&amp;" &amp; ln "&amp;'WS B ADIT &amp; ITC'!A44&amp;".E)"</f>
        <v>(Worksheet B, ln 17 &amp; ln 20.E)</v>
      </c>
      <c r="F89" s="186"/>
      <c r="G89" s="203">
        <f>'WS B ADIT &amp; ITC'!I41</f>
        <v>42283146.401827514</v>
      </c>
      <c r="H89" s="203"/>
      <c r="I89" s="190" t="s">
        <v>420</v>
      </c>
      <c r="J89" s="191"/>
      <c r="K89" s="186"/>
      <c r="L89" s="203">
        <f>'WS B ADIT &amp; ITC'!I44</f>
        <v>20576240.091827512</v>
      </c>
      <c r="M89" s="168"/>
      <c r="N89" s="168"/>
      <c r="O89" s="168"/>
    </row>
    <row r="90" spans="2:15" ht="15.75" thickBot="1">
      <c r="B90" s="170">
        <f t="shared" si="1"/>
        <v>42</v>
      </c>
      <c r="C90" s="233"/>
      <c r="D90" s="261" t="s">
        <v>424</v>
      </c>
      <c r="E90" s="186" t="str">
        <f>"(Worksheet B, ln "&amp;'WS B ADIT &amp; ITC'!A51&amp;" &amp; ln "&amp;'WS B ADIT &amp; ITC'!A52&amp;".E)"</f>
        <v>(Worksheet B, ln 24 &amp; ln 25.E)</v>
      </c>
      <c r="F90" s="160"/>
      <c r="G90" s="242">
        <f>-'WS B ADIT &amp; ITC'!I51</f>
        <v>0</v>
      </c>
      <c r="H90" s="203"/>
      <c r="I90" s="190" t="s">
        <v>420</v>
      </c>
      <c r="J90" s="191"/>
      <c r="K90" s="186"/>
      <c r="L90" s="242">
        <f>-'WS B ADIT &amp; ITC'!I52</f>
        <v>0</v>
      </c>
      <c r="M90" s="262"/>
      <c r="N90" s="168"/>
      <c r="O90" s="168"/>
    </row>
    <row r="91" spans="2:15">
      <c r="B91" s="170">
        <f t="shared" si="1"/>
        <v>43</v>
      </c>
      <c r="C91" s="233"/>
      <c r="D91" s="241" t="s">
        <v>383</v>
      </c>
      <c r="E91" s="241" t="str">
        <f>"(sum lns "&amp;B86&amp;" to "&amp;B90&amp;")"</f>
        <v>(sum lns 38 to 42)</v>
      </c>
      <c r="F91" s="186"/>
      <c r="G91" s="203">
        <f>SUM(G86:G90)</f>
        <v>-218887187.9552784</v>
      </c>
      <c r="H91" s="263"/>
      <c r="I91" s="190"/>
      <c r="J91" s="210"/>
      <c r="K91" s="186"/>
      <c r="L91" s="203">
        <f>SUM(L86:L90)</f>
        <v>-233397666.78671882</v>
      </c>
      <c r="M91" s="168"/>
      <c r="N91" s="264"/>
    </row>
    <row r="92" spans="2:15">
      <c r="B92" s="170"/>
      <c r="C92" s="171"/>
      <c r="D92" s="241"/>
      <c r="E92" s="186"/>
      <c r="F92" s="186"/>
      <c r="G92" s="203"/>
      <c r="H92" s="263"/>
      <c r="I92" s="190"/>
      <c r="J92" s="255"/>
      <c r="K92" s="186"/>
      <c r="L92" s="203"/>
      <c r="M92" s="168"/>
    </row>
    <row r="93" spans="2:15">
      <c r="B93" s="170">
        <f>+B91+1</f>
        <v>44</v>
      </c>
      <c r="C93" s="171"/>
      <c r="D93" s="241" t="s">
        <v>487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636</v>
      </c>
      <c r="E97" s="186" t="s">
        <v>637</v>
      </c>
      <c r="F97" s="186"/>
      <c r="G97" s="189">
        <f>'WS A - Rate Base Support'!F87</f>
        <v>0</v>
      </c>
      <c r="H97" s="203"/>
      <c r="I97" s="190" t="s">
        <v>422</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384</v>
      </c>
      <c r="E99" s="186" t="s">
        <v>286</v>
      </c>
      <c r="F99" s="186"/>
      <c r="G99" s="203"/>
      <c r="H99" s="263"/>
      <c r="I99" s="190"/>
      <c r="J99" s="186"/>
      <c r="K99" s="186"/>
      <c r="L99" s="203"/>
      <c r="M99" s="168"/>
    </row>
    <row r="100" spans="2:14">
      <c r="B100" s="170">
        <f t="shared" ref="B100:B108" si="2">+B99+1</f>
        <v>48</v>
      </c>
      <c r="C100" s="233"/>
      <c r="D100" s="241" t="s">
        <v>486</v>
      </c>
      <c r="E100" s="160" t="str">
        <f>"(1/8 * ln "&amp;B134&amp;")"</f>
        <v>(1/8 * ln 66)</v>
      </c>
      <c r="F100" s="160"/>
      <c r="G100" s="203">
        <f>+G134/8</f>
        <v>2189201.2723416574</v>
      </c>
      <c r="H100" s="186"/>
      <c r="I100" s="190"/>
      <c r="J100" s="255"/>
      <c r="K100" s="186"/>
      <c r="L100" s="203">
        <f>+L134/8</f>
        <v>2189201.2723416574</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412</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422</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762</v>
      </c>
      <c r="J103" s="191">
        <f>J68</f>
        <v>1</v>
      </c>
      <c r="K103" s="168"/>
      <c r="L103" s="257">
        <f>+J103*G103</f>
        <v>0</v>
      </c>
      <c r="M103" s="186"/>
    </row>
    <row r="104" spans="2:14">
      <c r="B104" s="170">
        <f t="shared" si="2"/>
        <v>52</v>
      </c>
      <c r="C104" s="252"/>
      <c r="D104" s="240" t="s">
        <v>490</v>
      </c>
      <c r="E104" s="186" t="str">
        <f>"(Worksheet C, ln "&amp;'WS C  - Working Capital'!A31&amp;".(G))"</f>
        <v>(Worksheet C, ln 8.(G))</v>
      </c>
      <c r="F104" s="186"/>
      <c r="G104" s="203">
        <f>'WS C  - Working Capital'!J31</f>
        <v>0</v>
      </c>
      <c r="H104" s="263"/>
      <c r="I104" s="190" t="s">
        <v>422</v>
      </c>
      <c r="J104" s="191">
        <f>L219</f>
        <v>1</v>
      </c>
      <c r="K104" s="186"/>
      <c r="L104" s="203">
        <f>+J104*G104</f>
        <v>0</v>
      </c>
      <c r="M104" s="186"/>
    </row>
    <row r="105" spans="2:14">
      <c r="B105" s="170">
        <f t="shared" si="2"/>
        <v>53</v>
      </c>
      <c r="C105" s="233"/>
      <c r="D105" s="241" t="s">
        <v>491</v>
      </c>
      <c r="E105" s="186" t="str">
        <f>"(Worksheet C, ln "&amp;'WS C  - Working Capital'!A31&amp;".(F))"</f>
        <v>(Worksheet C, ln 8.(F))</v>
      </c>
      <c r="F105" s="186"/>
      <c r="G105" s="203">
        <f>'WS C  - Working Capital'!I31</f>
        <v>813922</v>
      </c>
      <c r="H105" s="263"/>
      <c r="I105" s="190" t="s">
        <v>762</v>
      </c>
      <c r="J105" s="191">
        <f>J68</f>
        <v>1</v>
      </c>
      <c r="K105" s="186"/>
      <c r="L105" s="203">
        <f>+G105*J105</f>
        <v>813922</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420</v>
      </c>
      <c r="J106" s="191">
        <v>1</v>
      </c>
      <c r="K106" s="186"/>
      <c r="L106" s="203">
        <f>+G106</f>
        <v>0</v>
      </c>
      <c r="M106" s="186"/>
    </row>
    <row r="107" spans="2:14" ht="15.75" thickBot="1">
      <c r="B107" s="170">
        <f t="shared" si="2"/>
        <v>55</v>
      </c>
      <c r="C107" s="233"/>
      <c r="D107" s="241" t="s">
        <v>396</v>
      </c>
      <c r="E107" s="186" t="str">
        <f>"(Worksheet C, ln "&amp;'WS C  - Working Capital'!A31&amp;".(D))"</f>
        <v>(Worksheet C, ln 8.(D))</v>
      </c>
      <c r="F107" s="186"/>
      <c r="G107" s="242">
        <f>'WS C  - Working Capital'!E31</f>
        <v>0</v>
      </c>
      <c r="H107" s="203"/>
      <c r="I107" s="190" t="s">
        <v>418</v>
      </c>
      <c r="J107" s="191">
        <v>0</v>
      </c>
      <c r="K107" s="186"/>
      <c r="L107" s="242">
        <f>+G107*J107</f>
        <v>0</v>
      </c>
      <c r="M107" s="186"/>
    </row>
    <row r="108" spans="2:14">
      <c r="B108" s="170">
        <f t="shared" si="2"/>
        <v>56</v>
      </c>
      <c r="C108" s="233"/>
      <c r="D108" s="241" t="s">
        <v>368</v>
      </c>
      <c r="E108" s="241" t="str">
        <f>"(sum lns "&amp;B100&amp;" to "&amp;B107&amp;")"</f>
        <v>(sum lns 48 to 55)</v>
      </c>
      <c r="F108" s="181"/>
      <c r="G108" s="203">
        <f>SUM(G100:G107)</f>
        <v>3003123.2723416574</v>
      </c>
      <c r="H108" s="181"/>
      <c r="I108" s="194"/>
      <c r="J108" s="181"/>
      <c r="K108" s="181"/>
      <c r="L108" s="203">
        <f>SUM(L100:L107)</f>
        <v>3003123.2723416574</v>
      </c>
      <c r="M108" s="165"/>
    </row>
    <row r="109" spans="2:14">
      <c r="B109" s="170"/>
      <c r="C109" s="171"/>
      <c r="D109" s="241"/>
      <c r="E109" s="165"/>
      <c r="F109" s="165"/>
      <c r="G109" s="257"/>
      <c r="H109" s="165"/>
      <c r="I109" s="171"/>
      <c r="J109" s="165"/>
      <c r="K109" s="165"/>
      <c r="L109" s="257"/>
      <c r="M109" s="165"/>
    </row>
    <row r="110" spans="2:14">
      <c r="B110" s="170">
        <f>+B108+1</f>
        <v>57</v>
      </c>
      <c r="C110" s="171"/>
      <c r="D110" s="240" t="s">
        <v>356</v>
      </c>
      <c r="E110" s="162" t="str">
        <f>"(Note F) (Worksheet D, ln "&amp;'WS D IPP Credits'!A23&amp;".B)"</f>
        <v>(Note F) (Worksheet D, ln 8.B)</v>
      </c>
      <c r="F110" s="165"/>
      <c r="G110" s="257">
        <f>+'WS D IPP Credits'!C21</f>
        <v>0</v>
      </c>
      <c r="H110" s="165"/>
      <c r="I110" s="265" t="s">
        <v>420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2358371622.9656963</v>
      </c>
      <c r="H112" s="168"/>
      <c r="I112" s="168"/>
      <c r="J112" s="268"/>
      <c r="K112" s="168"/>
      <c r="L112" s="267">
        <f>+L108+L93+L91+L82+L110+L95+L97</f>
        <v>2343861144.1342559</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West Virginia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413</v>
      </c>
      <c r="E121" s="171" t="s">
        <v>414</v>
      </c>
      <c r="F121" s="171"/>
      <c r="G121" s="171" t="s">
        <v>415</v>
      </c>
      <c r="H121" s="186"/>
      <c r="I121" s="1467" t="s">
        <v>416</v>
      </c>
      <c r="J121" s="1471"/>
      <c r="K121" s="168"/>
      <c r="L121" s="172" t="s">
        <v>417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392</v>
      </c>
      <c r="E123" s="223" t="str">
        <f>E59</f>
        <v>Data Sources</v>
      </c>
      <c r="F123" s="224"/>
      <c r="G123" s="168"/>
      <c r="H123" s="186"/>
      <c r="I123" s="168"/>
      <c r="J123" s="171"/>
      <c r="K123" s="168"/>
      <c r="L123" s="223" t="str">
        <f>L59</f>
        <v>Total</v>
      </c>
      <c r="N123" s="274"/>
      <c r="O123" s="275"/>
    </row>
    <row r="124" spans="2:15" ht="15.75">
      <c r="B124" s="269"/>
      <c r="C124" s="178"/>
      <c r="D124" s="226" t="s">
        <v>393</v>
      </c>
      <c r="E124" s="276" t="str">
        <f>E60</f>
        <v>(See "General Notes")</v>
      </c>
      <c r="F124" s="168"/>
      <c r="G124" s="276" t="str">
        <f>G60</f>
        <v>TO Total</v>
      </c>
      <c r="H124" s="277"/>
      <c r="I124" s="1469" t="str">
        <f>I60</f>
        <v>Allocator</v>
      </c>
      <c r="J124" s="1470"/>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394</v>
      </c>
      <c r="E126" s="168"/>
      <c r="F126" s="168"/>
      <c r="G126" s="168"/>
      <c r="H126" s="186"/>
      <c r="I126" s="197"/>
      <c r="J126" s="168"/>
      <c r="K126" s="168"/>
      <c r="L126" s="168"/>
      <c r="M126" s="168"/>
    </row>
    <row r="127" spans="2:15">
      <c r="B127" s="170">
        <f>+B112+1</f>
        <v>59</v>
      </c>
      <c r="C127" s="171"/>
      <c r="D127" s="205" t="s">
        <v>32</v>
      </c>
      <c r="E127" s="168" t="s">
        <v>484</v>
      </c>
      <c r="F127" s="186"/>
      <c r="G127" s="145">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425</v>
      </c>
      <c r="E129" s="168" t="s">
        <v>197</v>
      </c>
      <c r="F129" s="186"/>
      <c r="G129" s="141">
        <v>19612371.2926654</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19612371.2926654</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2098761.1139321397</v>
      </c>
      <c r="H131" s="203"/>
      <c r="I131" s="209"/>
      <c r="J131" s="209"/>
      <c r="K131" s="173"/>
      <c r="L131" s="173"/>
      <c r="M131" s="165"/>
      <c r="N131" s="168"/>
      <c r="O131" s="168"/>
    </row>
    <row r="132" spans="2:15">
      <c r="B132" s="170">
        <f t="shared" si="3"/>
        <v>64</v>
      </c>
      <c r="C132" s="171"/>
      <c r="D132" s="205" t="s">
        <v>352</v>
      </c>
      <c r="E132" s="186" t="s">
        <v>391</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17513610.178733259</v>
      </c>
      <c r="H134" s="186"/>
      <c r="I134" s="197" t="s">
        <v>412</v>
      </c>
      <c r="J134" s="191">
        <f>L209</f>
        <v>1</v>
      </c>
      <c r="K134" s="186"/>
      <c r="L134" s="203">
        <f>+J134*G134</f>
        <v>17513610.178733259</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395</v>
      </c>
      <c r="E136" s="186" t="s">
        <v>759</v>
      </c>
      <c r="F136" s="168"/>
      <c r="G136" s="145">
        <v>9064761.8976237103</v>
      </c>
      <c r="H136" s="280" t="s">
        <v>406</v>
      </c>
      <c r="I136" s="258"/>
      <c r="J136" s="258"/>
      <c r="K136" s="168"/>
      <c r="L136" s="257"/>
      <c r="M136" s="168"/>
      <c r="N136" s="168"/>
      <c r="O136" s="168"/>
    </row>
    <row r="137" spans="2:15">
      <c r="B137" s="170">
        <f t="shared" ref="B137:B143" si="4">+B136+1</f>
        <v>68</v>
      </c>
      <c r="C137" s="171"/>
      <c r="D137" s="205" t="s">
        <v>125</v>
      </c>
      <c r="E137" s="168" t="s">
        <v>199</v>
      </c>
      <c r="F137" s="168"/>
      <c r="G137" s="145">
        <v>508673.76304810104</v>
      </c>
      <c r="H137" s="203"/>
      <c r="I137" s="258"/>
      <c r="J137" s="162"/>
      <c r="K137" s="168"/>
      <c r="L137" s="257"/>
      <c r="M137" s="173"/>
      <c r="N137" s="168"/>
      <c r="O137" s="168"/>
    </row>
    <row r="138" spans="2:15">
      <c r="B138" s="170">
        <f t="shared" si="4"/>
        <v>69</v>
      </c>
      <c r="C138" s="171"/>
      <c r="D138" s="162" t="s">
        <v>124</v>
      </c>
      <c r="E138" s="168" t="s">
        <v>387</v>
      </c>
      <c r="F138" s="186"/>
      <c r="G138" s="145">
        <f>'WS F Misc Exp'!D44</f>
        <v>0</v>
      </c>
      <c r="H138" s="203"/>
      <c r="I138" s="258"/>
      <c r="J138" s="282"/>
      <c r="K138" s="168"/>
      <c r="L138" s="257"/>
      <c r="M138" s="168"/>
      <c r="N138" s="168"/>
      <c r="O138" s="168"/>
    </row>
    <row r="139" spans="2:15">
      <c r="B139" s="170">
        <f t="shared" si="4"/>
        <v>70</v>
      </c>
      <c r="C139" s="171"/>
      <c r="D139" s="205" t="s">
        <v>399</v>
      </c>
      <c r="E139" s="168" t="s">
        <v>388</v>
      </c>
      <c r="F139" s="186"/>
      <c r="G139" s="145">
        <f>'WS F Misc Exp'!D64</f>
        <v>0</v>
      </c>
      <c r="H139" s="203"/>
      <c r="I139" s="258"/>
      <c r="J139" s="258"/>
      <c r="K139" s="168"/>
      <c r="L139" s="257"/>
      <c r="M139" s="168"/>
      <c r="N139" s="168"/>
      <c r="O139" s="168"/>
    </row>
    <row r="140" spans="2:15" ht="15.75" thickBot="1">
      <c r="B140" s="170">
        <f t="shared" si="4"/>
        <v>71</v>
      </c>
      <c r="C140" s="171"/>
      <c r="D140" s="205" t="s">
        <v>126</v>
      </c>
      <c r="E140" s="168" t="s">
        <v>389</v>
      </c>
      <c r="F140" s="186"/>
      <c r="G140" s="141">
        <f>'WS F Misc Exp'!D72</f>
        <v>138323.58589045418</v>
      </c>
      <c r="H140" s="203"/>
      <c r="I140" s="258"/>
      <c r="J140" s="258"/>
      <c r="K140" s="168"/>
      <c r="L140" s="257"/>
      <c r="M140" s="168"/>
      <c r="N140" s="168"/>
      <c r="O140" s="168"/>
    </row>
    <row r="141" spans="2:15">
      <c r="B141" s="170">
        <f>+B140+1</f>
        <v>72</v>
      </c>
      <c r="C141" s="171"/>
      <c r="D141" s="162" t="s">
        <v>400</v>
      </c>
      <c r="E141" s="186" t="str">
        <f>"(ln "&amp;B136&amp;" - sum ln "&amp;B137&amp;"  to ln "&amp;B140&amp;")"</f>
        <v>(ln 67 - sum ln 68  to ln 71)</v>
      </c>
      <c r="F141" s="186"/>
      <c r="G141" s="203">
        <f>G136-SUM(G137:G140)</f>
        <v>8417764.5486851558</v>
      </c>
      <c r="H141" s="203"/>
      <c r="I141" s="197" t="s">
        <v>422</v>
      </c>
      <c r="J141" s="191">
        <f>L219</f>
        <v>1</v>
      </c>
      <c r="K141" s="168"/>
      <c r="L141" s="257">
        <f>+J141*G141</f>
        <v>8417764.5486851558</v>
      </c>
      <c r="M141" s="168"/>
      <c r="N141" s="168"/>
      <c r="O141" s="168"/>
    </row>
    <row r="142" spans="2:15">
      <c r="B142" s="170">
        <f t="shared" si="4"/>
        <v>73</v>
      </c>
      <c r="C142" s="194"/>
      <c r="D142" s="205" t="s">
        <v>479</v>
      </c>
      <c r="E142" s="186" t="str">
        <f>"(ln "&amp;B137&amp;")"</f>
        <v>(ln 68)</v>
      </c>
      <c r="F142" s="186"/>
      <c r="G142" s="203">
        <f>+G137</f>
        <v>508673.76304810104</v>
      </c>
      <c r="H142" s="203"/>
      <c r="I142" s="283" t="s">
        <v>635</v>
      </c>
      <c r="J142" s="191">
        <f>J68</f>
        <v>1</v>
      </c>
      <c r="K142" s="186"/>
      <c r="L142" s="203">
        <f>+J142*G142</f>
        <v>508673.76304810104</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412</v>
      </c>
      <c r="J143" s="191">
        <f>L209</f>
        <v>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412</v>
      </c>
      <c r="J144" s="191">
        <f>L209</f>
        <v>1</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6001.1485435951799</v>
      </c>
      <c r="H145" s="284"/>
      <c r="I145" s="190" t="s">
        <v>420</v>
      </c>
      <c r="J145" s="191">
        <v>1</v>
      </c>
      <c r="K145" s="168"/>
      <c r="L145" s="285">
        <f>+J145*G145</f>
        <v>6001.1485435951799</v>
      </c>
      <c r="M145" s="168"/>
      <c r="N145" s="168"/>
      <c r="O145" s="168"/>
    </row>
    <row r="146" spans="2:15">
      <c r="B146" s="170">
        <f>+B145+1</f>
        <v>77</v>
      </c>
      <c r="C146" s="171"/>
      <c r="D146" s="1306" t="s">
        <v>796</v>
      </c>
      <c r="E146" s="186" t="str">
        <f>"Worksheet O Ln "&amp;'Worksheet O'!A33&amp;"."&amp;'Worksheet O'!D11&amp;", (Note K &amp; M)"</f>
        <v>Worksheet O Ln 16.(B), (Note K &amp; M)</v>
      </c>
      <c r="F146" s="186"/>
      <c r="G146" s="1240">
        <f>'Worksheet O'!D33</f>
        <v>591000</v>
      </c>
      <c r="H146" s="284"/>
      <c r="I146" s="197" t="s">
        <v>422</v>
      </c>
      <c r="J146" s="191">
        <f>L219</f>
        <v>1</v>
      </c>
      <c r="K146" s="168"/>
      <c r="L146" s="1314">
        <f>+J146*G146</f>
        <v>591000</v>
      </c>
      <c r="M146" s="168"/>
      <c r="N146" s="168"/>
      <c r="O146" s="168"/>
    </row>
    <row r="147" spans="2:15">
      <c r="B147" s="170">
        <f>+B146+1</f>
        <v>78</v>
      </c>
      <c r="C147" s="171"/>
      <c r="D147" s="162" t="s">
        <v>401</v>
      </c>
      <c r="E147" s="186" t="str">
        <f>"(sum lns "&amp;B141&amp;"  to "&amp;B146&amp;")"</f>
        <v>(sum lns 72  to 77)</v>
      </c>
      <c r="F147" s="186"/>
      <c r="G147" s="257">
        <f>SUM(G141:G146)</f>
        <v>9523439.4602768514</v>
      </c>
      <c r="H147" s="203"/>
      <c r="I147" s="197"/>
      <c r="J147" s="258"/>
      <c r="K147" s="168"/>
      <c r="L147" s="257">
        <f>SUM(L141:L146)</f>
        <v>9523439.4602768514</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27037049.639010109</v>
      </c>
      <c r="H149" s="203"/>
      <c r="I149" s="190"/>
      <c r="J149" s="186"/>
      <c r="K149" s="186"/>
      <c r="L149" s="203">
        <f>L134+L147</f>
        <v>27037049.639010109</v>
      </c>
      <c r="M149" s="168"/>
      <c r="N149" s="168"/>
      <c r="O149" s="168"/>
    </row>
    <row r="150" spans="2:15" ht="15.75" thickBot="1">
      <c r="B150" s="256">
        <f>+B149+1</f>
        <v>80</v>
      </c>
      <c r="C150" s="194"/>
      <c r="D150" s="205" t="s">
        <v>272</v>
      </c>
      <c r="E150" s="205"/>
      <c r="F150" s="186"/>
      <c r="G150" s="141">
        <v>0</v>
      </c>
      <c r="H150" s="203"/>
      <c r="I150" s="197" t="s">
        <v>420</v>
      </c>
      <c r="J150" s="191">
        <f>J63</f>
        <v>0</v>
      </c>
      <c r="K150" s="186"/>
      <c r="L150" s="266">
        <f>J150*G150</f>
        <v>0</v>
      </c>
      <c r="M150" s="168"/>
      <c r="N150" s="168"/>
      <c r="O150" s="168"/>
    </row>
    <row r="151" spans="2:15">
      <c r="B151" s="170">
        <f>+B150+1</f>
        <v>81</v>
      </c>
      <c r="C151" s="171"/>
      <c r="D151" s="205" t="s">
        <v>402</v>
      </c>
      <c r="E151" s="186" t="str">
        <f>"(ln "&amp;B149&amp;" + ln "&amp;B150&amp;")"</f>
        <v>(ln 79 + ln 80)</v>
      </c>
      <c r="F151" s="186"/>
      <c r="G151" s="203">
        <f>+G149+G150</f>
        <v>27037049.639010109</v>
      </c>
      <c r="H151" s="203"/>
      <c r="I151" s="190"/>
      <c r="J151" s="186"/>
      <c r="K151" s="186"/>
      <c r="L151" s="203">
        <f>+L149+L150</f>
        <v>27037049.639010109</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73521205.394835889</v>
      </c>
      <c r="H154" s="287"/>
      <c r="I154" s="288" t="s">
        <v>412</v>
      </c>
      <c r="J154" s="191">
        <f>L209</f>
        <v>1</v>
      </c>
      <c r="K154" s="239"/>
      <c r="L154" s="289">
        <f>J154*G154</f>
        <v>73521205.394835889</v>
      </c>
      <c r="M154" s="239"/>
      <c r="N154" s="168"/>
      <c r="O154" s="168"/>
    </row>
    <row r="155" spans="2:15">
      <c r="B155" s="170">
        <f>+B154+1</f>
        <v>84</v>
      </c>
      <c r="C155" s="171"/>
      <c r="D155" s="241" t="s">
        <v>426</v>
      </c>
      <c r="E155" s="286" t="s">
        <v>201</v>
      </c>
      <c r="F155" s="168"/>
      <c r="G155" s="149">
        <v>999397.91779979307</v>
      </c>
      <c r="H155" s="203"/>
      <c r="I155" s="197" t="s">
        <v>422</v>
      </c>
      <c r="J155" s="191">
        <f>L219</f>
        <v>1</v>
      </c>
      <c r="K155" s="168"/>
      <c r="L155" s="257">
        <f>+J155*G155</f>
        <v>999397.91779979307</v>
      </c>
      <c r="M155" s="168"/>
      <c r="N155" s="186"/>
      <c r="O155" s="168"/>
    </row>
    <row r="156" spans="2:15" ht="15.75" thickBot="1">
      <c r="B156" s="170">
        <f>+B155+1</f>
        <v>85</v>
      </c>
      <c r="C156" s="171"/>
      <c r="D156" s="241" t="s">
        <v>427</v>
      </c>
      <c r="E156" s="235" t="s">
        <v>202</v>
      </c>
      <c r="F156" s="186"/>
      <c r="G156" s="141">
        <v>5710236.7108342098</v>
      </c>
      <c r="H156" s="203"/>
      <c r="I156" s="197" t="s">
        <v>422</v>
      </c>
      <c r="J156" s="191">
        <f>L219</f>
        <v>1</v>
      </c>
      <c r="K156" s="168"/>
      <c r="L156" s="266">
        <f>+J156*G156</f>
        <v>5710236.7108342098</v>
      </c>
      <c r="M156" s="168"/>
      <c r="N156" s="186"/>
      <c r="O156" s="168"/>
    </row>
    <row r="157" spans="2:15" ht="15" customHeight="1">
      <c r="B157" s="170">
        <f>+B156+1</f>
        <v>86</v>
      </c>
      <c r="C157" s="171"/>
      <c r="D157" s="241" t="s">
        <v>96</v>
      </c>
      <c r="E157" s="290" t="str">
        <f>"(Ln "&amp;B154&amp;"+"&amp;B155&amp;"+"&amp;B156&amp;")"</f>
        <v>(Ln 83+84+85)</v>
      </c>
      <c r="F157" s="168"/>
      <c r="G157" s="203">
        <f>+G154+G155+G156</f>
        <v>80230840.02346988</v>
      </c>
      <c r="H157" s="186"/>
      <c r="I157" s="197"/>
      <c r="J157" s="168"/>
      <c r="K157" s="168"/>
      <c r="L157" s="203">
        <f>+L154+L155+L156</f>
        <v>80230840.02346988</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357</v>
      </c>
      <c r="E159" s="160" t="s">
        <v>203</v>
      </c>
      <c r="G159" s="257"/>
      <c r="H159" s="186"/>
      <c r="I159" s="197"/>
      <c r="J159" s="168"/>
      <c r="K159" s="168"/>
      <c r="L159" s="257"/>
      <c r="M159" s="168"/>
      <c r="N159" s="292"/>
      <c r="O159" s="168"/>
    </row>
    <row r="160" spans="2:15">
      <c r="B160" s="170">
        <f t="shared" ref="B160:B165" si="5">+B159+1</f>
        <v>88</v>
      </c>
      <c r="C160" s="171"/>
      <c r="D160" s="241" t="s">
        <v>428</v>
      </c>
      <c r="G160" s="257"/>
      <c r="H160" s="186"/>
      <c r="I160" s="197"/>
      <c r="K160" s="168"/>
      <c r="L160" s="257"/>
      <c r="M160" s="168"/>
      <c r="N160" s="168"/>
      <c r="O160" s="168"/>
    </row>
    <row r="161" spans="2:15">
      <c r="B161" s="170">
        <f t="shared" si="5"/>
        <v>89</v>
      </c>
      <c r="C161" s="171"/>
      <c r="D161" s="241" t="s">
        <v>429</v>
      </c>
      <c r="E161" s="186" t="str">
        <f>"Worksheet H ln "&amp;'WS H-p1 Other Taxes'!A43&amp;"."&amp;'WS H-p1 Other Taxes'!I10&amp;""</f>
        <v>Worksheet H ln 23.(D)</v>
      </c>
      <c r="F161" s="168"/>
      <c r="G161" s="203">
        <f>+'WS H-p1 Other Taxes'!I43</f>
        <v>0</v>
      </c>
      <c r="H161" s="203"/>
      <c r="I161" s="197" t="s">
        <v>422</v>
      </c>
      <c r="J161" s="191">
        <f>L219</f>
        <v>1</v>
      </c>
      <c r="K161" s="168"/>
      <c r="L161" s="257">
        <f>+J161*G161</f>
        <v>0</v>
      </c>
      <c r="M161" s="262"/>
      <c r="N161" s="168"/>
      <c r="O161" s="168"/>
    </row>
    <row r="162" spans="2:15">
      <c r="B162" s="170">
        <f t="shared" si="5"/>
        <v>90</v>
      </c>
      <c r="C162" s="171"/>
      <c r="D162" s="241" t="s">
        <v>430</v>
      </c>
      <c r="E162" s="186" t="s">
        <v>406</v>
      </c>
      <c r="F162" s="168"/>
      <c r="G162" s="203"/>
      <c r="H162" s="203"/>
      <c r="I162" s="197"/>
      <c r="K162" s="168"/>
      <c r="L162" s="257"/>
      <c r="M162" s="186"/>
      <c r="N162" s="168"/>
      <c r="O162" s="168"/>
    </row>
    <row r="163" spans="2:15">
      <c r="B163" s="193">
        <f t="shared" si="5"/>
        <v>91</v>
      </c>
      <c r="C163" s="194"/>
      <c r="D163" s="240" t="s">
        <v>431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24053945</v>
      </c>
      <c r="H163" s="203"/>
      <c r="I163" s="190" t="s">
        <v>420</v>
      </c>
      <c r="J163" s="191">
        <v>1</v>
      </c>
      <c r="K163" s="186"/>
      <c r="L163" s="203">
        <f>'WS H-p2 Detail of Tax Amts'!I22</f>
        <v>24053945</v>
      </c>
      <c r="M163" s="293"/>
      <c r="N163" s="292"/>
      <c r="O163" s="186"/>
    </row>
    <row r="164" spans="2:15">
      <c r="B164" s="170">
        <f t="shared" si="5"/>
        <v>92</v>
      </c>
      <c r="C164" s="171"/>
      <c r="D164" s="241" t="s">
        <v>482</v>
      </c>
      <c r="E164" s="186" t="str">
        <f>"Worksheet H ln "&amp;'WS H-p1 Other Taxes'!A43&amp;"."&amp;'WS H-p1 Other Taxes'!M10&amp;""</f>
        <v>Worksheet H ln 23.(F)</v>
      </c>
      <c r="F164" s="168"/>
      <c r="G164" s="203">
        <f>+'WS H-p1 Other Taxes'!M43</f>
        <v>0</v>
      </c>
      <c r="H164" s="263"/>
      <c r="I164" s="197" t="s">
        <v>418</v>
      </c>
      <c r="J164" s="191">
        <v>0</v>
      </c>
      <c r="K164" s="168"/>
      <c r="L164" s="257">
        <f>+J164*G164</f>
        <v>0</v>
      </c>
      <c r="M164" s="186"/>
      <c r="N164" s="168"/>
      <c r="O164" s="168"/>
    </row>
    <row r="165" spans="2:15" ht="15.75" thickBot="1">
      <c r="B165" s="170">
        <f t="shared" si="5"/>
        <v>93</v>
      </c>
      <c r="C165" s="171"/>
      <c r="D165" s="241" t="s">
        <v>432</v>
      </c>
      <c r="E165" s="186" t="str">
        <f>"Worksheet H ln "&amp;'WS H-p1 Other Taxes'!A43&amp;"."&amp;'WS H-p1 Other Taxes'!K10&amp;""</f>
        <v>Worksheet H ln 23.(E)</v>
      </c>
      <c r="F165" s="168"/>
      <c r="G165" s="242">
        <f>+'WS H-p1 Other Taxes'!K43</f>
        <v>0</v>
      </c>
      <c r="H165" s="263"/>
      <c r="I165" s="197" t="s">
        <v>762</v>
      </c>
      <c r="J165" s="191">
        <f>J68</f>
        <v>1</v>
      </c>
      <c r="K165" s="168"/>
      <c r="L165" s="266">
        <f>+J165*G165</f>
        <v>0</v>
      </c>
      <c r="M165" s="186"/>
      <c r="N165" s="168"/>
      <c r="O165" s="168"/>
    </row>
    <row r="166" spans="2:15">
      <c r="B166" s="170">
        <f>+B165+1</f>
        <v>94</v>
      </c>
      <c r="C166" s="171"/>
      <c r="D166" s="241" t="s">
        <v>358</v>
      </c>
      <c r="E166" s="196" t="str">
        <f>"(sum lns "&amp;B161&amp;" to "&amp;B165&amp;")"</f>
        <v>(sum lns 89 to 93)</v>
      </c>
      <c r="F166" s="168"/>
      <c r="G166" s="203">
        <f>SUM(G161:G165)</f>
        <v>24053945</v>
      </c>
      <c r="H166" s="186"/>
      <c r="I166" s="197"/>
      <c r="J166" s="294"/>
      <c r="K166" s="168"/>
      <c r="L166" s="257">
        <f>SUM(L161:L165)</f>
        <v>24053945</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IF(F340&gt;0,1-(((1-F341)*(1-F340))/(1-F341*F340*F342)),0)</f>
        <v>0.26103399999999999</v>
      </c>
      <c r="H169" s="301"/>
      <c r="I169" s="301"/>
      <c r="K169" s="302"/>
      <c r="L169" s="297"/>
      <c r="M169" s="168"/>
      <c r="N169" s="168"/>
      <c r="O169" s="168"/>
    </row>
    <row r="170" spans="2:15">
      <c r="B170" s="170">
        <f t="shared" si="6"/>
        <v>97</v>
      </c>
      <c r="C170" s="171"/>
      <c r="D170" s="261" t="s">
        <v>133</v>
      </c>
      <c r="E170" s="168"/>
      <c r="F170" s="299"/>
      <c r="G170" s="300">
        <f>IF(L233&gt;0,($G169/(1-$G169))*(1-$L233/$L236),0)</f>
        <v>0.26766713034902878</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1.3532422330662033</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6"/>
      <c r="K174" s="203"/>
      <c r="L174" s="160"/>
      <c r="M174" s="197"/>
      <c r="N174" s="168"/>
      <c r="O174" s="168"/>
    </row>
    <row r="175" spans="2:15">
      <c r="B175" s="170">
        <f t="shared" ref="B175:B181" si="7">+B174+1</f>
        <v>102</v>
      </c>
      <c r="C175" s="171"/>
      <c r="D175" s="240" t="s">
        <v>550</v>
      </c>
      <c r="E175" s="186" t="s">
        <v>763</v>
      </c>
      <c r="F175" s="1238"/>
      <c r="G175" s="149">
        <v>542212.59819023998</v>
      </c>
      <c r="H175" s="348"/>
      <c r="I175" s="315" t="s">
        <v>639</v>
      </c>
      <c r="J175" s="191">
        <f>NP_h</f>
        <v>1</v>
      </c>
      <c r="K175" s="203"/>
      <c r="L175" s="189">
        <f>+G175*J175</f>
        <v>542212.59819023998</v>
      </c>
      <c r="M175" s="168"/>
      <c r="N175" s="168"/>
      <c r="O175" s="168"/>
    </row>
    <row r="176" spans="2:15">
      <c r="B176" s="170">
        <f t="shared" si="7"/>
        <v>103</v>
      </c>
      <c r="C176" s="171"/>
      <c r="D176" s="240" t="s">
        <v>638</v>
      </c>
      <c r="E176" s="186" t="s">
        <v>763</v>
      </c>
      <c r="F176" s="1238"/>
      <c r="G176" s="149">
        <v>586925.55279657256</v>
      </c>
      <c r="H176" s="348"/>
      <c r="I176" s="315" t="s">
        <v>639</v>
      </c>
      <c r="J176" s="191">
        <f>NP_h</f>
        <v>1</v>
      </c>
      <c r="K176" s="203"/>
      <c r="L176" s="189">
        <f>+G176*J176</f>
        <v>586925.55279657256</v>
      </c>
      <c r="M176" s="168"/>
      <c r="N176" s="168"/>
      <c r="O176" s="168"/>
    </row>
    <row r="177" spans="2:15">
      <c r="B177" s="170">
        <f t="shared" si="7"/>
        <v>104</v>
      </c>
      <c r="C177" s="171"/>
      <c r="D177" s="307" t="s">
        <v>135</v>
      </c>
      <c r="E177" s="312" t="str">
        <f>"(ln "&amp;B170&amp;" * ln "&amp;B183&amp;")"</f>
        <v>(ln 97 * ln 109)</v>
      </c>
      <c r="F177" s="313"/>
      <c r="G177" s="203">
        <f>+G170*G183</f>
        <v>47422877.399905778</v>
      </c>
      <c r="H177" s="348"/>
      <c r="I177" s="283"/>
      <c r="J177" s="1239"/>
      <c r="K177" s="203"/>
      <c r="L177" s="203">
        <f>+L183*G170</f>
        <v>47131096.133570835</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639</v>
      </c>
      <c r="J178" s="191">
        <f>NP_h</f>
        <v>1</v>
      </c>
      <c r="K178" s="203"/>
      <c r="L178" s="189">
        <f>+G178*J178</f>
        <v>0</v>
      </c>
      <c r="M178" s="168"/>
      <c r="N178" s="168"/>
      <c r="O178" s="168"/>
    </row>
    <row r="179" spans="2:15">
      <c r="B179" s="170">
        <f t="shared" si="7"/>
        <v>106</v>
      </c>
      <c r="C179" s="171"/>
      <c r="D179" s="327" t="s">
        <v>550</v>
      </c>
      <c r="E179" s="312" t="str">
        <f>"(ln "&amp;B173&amp;" * ln "&amp;B175&amp;")"</f>
        <v>(ln 100 * ln 102)</v>
      </c>
      <c r="F179" s="312"/>
      <c r="G179" s="189">
        <f>G173*G175</f>
        <v>733744.98717158835</v>
      </c>
      <c r="H179" s="348"/>
      <c r="I179" s="315"/>
      <c r="J179" s="191"/>
      <c r="K179" s="203"/>
      <c r="L179" s="189">
        <f>G173*L175</f>
        <v>733744.98717158835</v>
      </c>
      <c r="M179" s="168"/>
      <c r="N179" s="168"/>
      <c r="O179" s="168"/>
    </row>
    <row r="180" spans="2:15">
      <c r="B180" s="170">
        <f t="shared" si="7"/>
        <v>107</v>
      </c>
      <c r="C180" s="171"/>
      <c r="D180" s="240" t="s">
        <v>638</v>
      </c>
      <c r="E180" s="312" t="str">
        <f>"(ln "&amp;B173&amp;" * ln "&amp;B176&amp;")"</f>
        <v>(ln 100 * ln 103)</v>
      </c>
      <c r="F180" s="312"/>
      <c r="G180" s="1240">
        <f>G173*G176</f>
        <v>794252.44571004959</v>
      </c>
      <c r="H180" s="348"/>
      <c r="I180" s="315"/>
      <c r="J180" s="191"/>
      <c r="K180" s="203"/>
      <c r="L180" s="1240">
        <f>G173*L176</f>
        <v>794252.44571004959</v>
      </c>
      <c r="M180" s="168"/>
      <c r="N180" s="168"/>
      <c r="O180" s="168"/>
    </row>
    <row r="181" spans="2:15">
      <c r="B181" s="256">
        <f t="shared" si="7"/>
        <v>108</v>
      </c>
      <c r="C181" s="171"/>
      <c r="D181" s="298" t="s">
        <v>359</v>
      </c>
      <c r="E181" s="168" t="str">
        <f>"(sum lns "&amp;B177&amp;" to "&amp;B180&amp;")"</f>
        <v>(sum lns 104 to 107)</v>
      </c>
      <c r="F181" s="312"/>
      <c r="G181" s="315">
        <f>SUM(G177:G180)</f>
        <v>48950874.832787417</v>
      </c>
      <c r="H181" s="209"/>
      <c r="I181" s="213" t="s">
        <v>406</v>
      </c>
      <c r="J181" s="316"/>
      <c r="K181" s="257"/>
      <c r="L181" s="315">
        <f>SUM(L177:L180)</f>
        <v>48659093.566452473</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481</v>
      </c>
      <c r="E183" s="307" t="str">
        <f>"(ln "&amp;B112&amp;" * ln "&amp;B236&amp;")"</f>
        <v>(ln 58 * ln 139)</v>
      </c>
      <c r="F183" s="268"/>
      <c r="G183" s="317">
        <f>+$L236*G112</f>
        <v>177171090.59326026</v>
      </c>
      <c r="H183" s="186"/>
      <c r="I183" s="213"/>
      <c r="J183" s="257"/>
      <c r="K183" s="257"/>
      <c r="L183" s="317">
        <f>+L236*L112</f>
        <v>176081000.57752141</v>
      </c>
      <c r="M183" s="168"/>
      <c r="N183" s="297"/>
      <c r="O183" s="297"/>
    </row>
    <row r="184" spans="2:15">
      <c r="B184" s="170"/>
      <c r="C184" s="171"/>
      <c r="D184" s="298"/>
      <c r="G184" s="257"/>
      <c r="H184" s="257"/>
      <c r="I184" s="213"/>
      <c r="J184" s="213"/>
      <c r="K184" s="257"/>
      <c r="L184" s="257"/>
      <c r="M184" s="168"/>
    </row>
    <row r="185" spans="2:15">
      <c r="B185" s="170">
        <f>+B183+1</f>
        <v>110</v>
      </c>
      <c r="C185" s="171"/>
      <c r="D185" s="318" t="s">
        <v>390</v>
      </c>
      <c r="F185" s="286"/>
      <c r="G185" s="203">
        <f>-'WS D IPP Credits'!C13</f>
        <v>0</v>
      </c>
      <c r="H185" s="203"/>
      <c r="I185" s="265" t="s">
        <v>420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357443800.08852768</v>
      </c>
      <c r="L191" s="321">
        <f>+L185+L183+L181+L166+L157+L151+L187+L189</f>
        <v>356061928.80645388</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West Virginia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408</v>
      </c>
      <c r="C202" s="171"/>
      <c r="D202" s="323"/>
      <c r="E202" s="165"/>
      <c r="F202" s="165"/>
      <c r="G202" s="165"/>
      <c r="H202" s="165"/>
      <c r="I202" s="165"/>
      <c r="J202" s="165"/>
      <c r="K202" s="165"/>
      <c r="L202" s="165"/>
      <c r="M202" s="168"/>
      <c r="N202" s="160"/>
      <c r="O202" s="160"/>
    </row>
    <row r="203" spans="2:16" ht="15.75" thickBot="1">
      <c r="B203" s="177" t="s">
        <v>409</v>
      </c>
      <c r="C203" s="178"/>
      <c r="D203" s="205" t="s">
        <v>502</v>
      </c>
      <c r="E203" s="181"/>
      <c r="F203" s="181"/>
      <c r="G203" s="181"/>
      <c r="H203" s="181"/>
      <c r="I203" s="181"/>
      <c r="J203" s="181"/>
      <c r="K203" s="160"/>
      <c r="M203" s="168"/>
      <c r="N203" s="160"/>
      <c r="O203" s="160"/>
      <c r="P203" s="173"/>
    </row>
    <row r="204" spans="2:16">
      <c r="B204" s="170">
        <f>+B191+1</f>
        <v>114</v>
      </c>
      <c r="C204" s="171"/>
      <c r="D204" s="181" t="s">
        <v>456</v>
      </c>
      <c r="E204" s="324" t="str">
        <f>"(ln "&amp;B63&amp;")"</f>
        <v>(ln 19)</v>
      </c>
      <c r="F204" s="325"/>
      <c r="H204" s="326"/>
      <c r="I204" s="326"/>
      <c r="J204" s="326"/>
      <c r="K204" s="326"/>
      <c r="L204" s="189">
        <f>+G63</f>
        <v>2821927091.4255648</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Support'!F87</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503</v>
      </c>
      <c r="E207" s="329" t="str">
        <f>"(ln "&amp;B204&amp;" - ln "&amp;B205&amp;" - ln "&amp;B206&amp;")"</f>
        <v>(ln 114 - ln 115 - ln 116)</v>
      </c>
      <c r="F207" s="325"/>
      <c r="H207" s="326"/>
      <c r="I207" s="326"/>
      <c r="J207" s="231"/>
      <c r="K207" s="326"/>
      <c r="L207" s="189">
        <f>L204-L205-L206</f>
        <v>2821927091.4255648</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504</v>
      </c>
      <c r="E209" s="330" t="str">
        <f>"(ln "&amp;B207&amp;" / ln "&amp;B204&amp;")"</f>
        <v>(ln 117 / ln 114)</v>
      </c>
      <c r="F209" s="331"/>
      <c r="H209" s="332"/>
      <c r="I209" s="333"/>
      <c r="J209" s="333"/>
      <c r="K209" s="334" t="s">
        <v>433</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365</v>
      </c>
      <c r="E211" s="190" t="s">
        <v>137</v>
      </c>
      <c r="F211" s="190" t="s">
        <v>474</v>
      </c>
      <c r="G211" s="338" t="s">
        <v>496</v>
      </c>
      <c r="H211" s="272" t="s">
        <v>410</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419</v>
      </c>
      <c r="E213" s="186" t="s">
        <v>341</v>
      </c>
      <c r="F213" s="142">
        <v>0</v>
      </c>
      <c r="G213" s="142">
        <v>6544222.8246205514</v>
      </c>
      <c r="H213" s="339">
        <f>+F213+G213</f>
        <v>6544222.8246205514</v>
      </c>
      <c r="I213" s="194" t="s">
        <v>412</v>
      </c>
      <c r="J213" s="191">
        <f>L209</f>
        <v>1</v>
      </c>
      <c r="K213" s="340"/>
      <c r="L213" s="257">
        <f>(F213+G213)*J213</f>
        <v>6544222.8246205514</v>
      </c>
      <c r="M213" s="168"/>
    </row>
    <row r="214" spans="2:24">
      <c r="B214" s="170">
        <f t="shared" si="8"/>
        <v>122</v>
      </c>
      <c r="C214" s="194"/>
      <c r="D214" s="240" t="s">
        <v>542</v>
      </c>
      <c r="E214" s="168" t="s">
        <v>254</v>
      </c>
      <c r="F214" s="142">
        <v>0</v>
      </c>
      <c r="G214" s="142">
        <v>0</v>
      </c>
      <c r="H214" s="257">
        <f>+F214+G214</f>
        <v>0</v>
      </c>
      <c r="I214" s="197" t="s">
        <v>418</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483</v>
      </c>
      <c r="E216" s="168" t="s">
        <v>206</v>
      </c>
      <c r="F216" s="1387">
        <v>0</v>
      </c>
      <c r="G216" s="1387">
        <v>0</v>
      </c>
      <c r="H216" s="266">
        <f>+F216+G216</f>
        <v>0</v>
      </c>
      <c r="I216" s="197" t="s">
        <v>418</v>
      </c>
      <c r="J216" s="191">
        <v>0</v>
      </c>
      <c r="K216" s="340"/>
      <c r="L216" s="266">
        <f>(F216+G216)*J216</f>
        <v>0</v>
      </c>
      <c r="M216" s="168"/>
    </row>
    <row r="217" spans="2:24" ht="15.75">
      <c r="B217" s="170">
        <f t="shared" si="8"/>
        <v>125</v>
      </c>
      <c r="C217" s="194"/>
      <c r="D217" s="240" t="s">
        <v>410</v>
      </c>
      <c r="E217" s="186" t="str">
        <f>"(sum lns "&amp;B213&amp;", "&amp;B214&amp;", &amp; "&amp;B216&amp;")"</f>
        <v>(sum lns 121, 122, &amp; 124)</v>
      </c>
      <c r="F217" s="257">
        <f>SUM(F212:F216)</f>
        <v>0</v>
      </c>
      <c r="G217" s="186">
        <f>SUM(G212:G216)</f>
        <v>6544222.8246205514</v>
      </c>
      <c r="H217" s="186">
        <f>SUM(H212:H216)</f>
        <v>6544222.8246205514</v>
      </c>
      <c r="I217" s="197"/>
      <c r="J217" s="168"/>
      <c r="K217" s="168"/>
      <c r="L217" s="257">
        <f>SUM(L212:L216)</f>
        <v>6544222.8246205514</v>
      </c>
      <c r="M217" s="223"/>
    </row>
    <row r="218" spans="2:24">
      <c r="B218" s="170"/>
      <c r="C218" s="194"/>
      <c r="D218" s="240" t="s">
        <v>406</v>
      </c>
      <c r="E218" s="186" t="s">
        <v>406</v>
      </c>
      <c r="F218" s="186"/>
      <c r="G218" s="160"/>
      <c r="H218" s="186"/>
      <c r="I218" s="271"/>
    </row>
    <row r="219" spans="2:24" ht="15.75">
      <c r="B219" s="170">
        <f>B217+1</f>
        <v>126</v>
      </c>
      <c r="C219" s="171"/>
      <c r="D219" s="241" t="s">
        <v>366</v>
      </c>
      <c r="E219" s="186"/>
      <c r="F219" s="186"/>
      <c r="G219" s="186"/>
      <c r="H219" s="186"/>
      <c r="I219" s="271"/>
      <c r="K219" s="341" t="s">
        <v>367</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480</v>
      </c>
      <c r="E222" s="186"/>
      <c r="F222" s="186"/>
      <c r="G222" s="186"/>
      <c r="H222" s="186"/>
      <c r="I222" s="186"/>
      <c r="J222" s="186"/>
      <c r="K222" s="186"/>
      <c r="L222" s="344" t="s">
        <v>434</v>
      </c>
      <c r="M222" s="168"/>
    </row>
    <row r="223" spans="2:24" ht="15.75">
      <c r="B223" s="170">
        <f>B222+1</f>
        <v>128</v>
      </c>
      <c r="C223" s="171"/>
      <c r="D223" s="186" t="s">
        <v>500</v>
      </c>
      <c r="E223" s="160" t="str">
        <f>"(Worksheet M, ln."&amp;'WS M - Cost of Capital'!A55&amp;", col."&amp;'WS M - Cost of Capital'!E47&amp;")"</f>
        <v>(Worksheet M, ln.36, col.(d))</v>
      </c>
      <c r="F223" s="186"/>
      <c r="G223" s="186"/>
      <c r="H223" s="186"/>
      <c r="I223" s="186"/>
      <c r="J223" s="277" t="s">
        <v>406</v>
      </c>
      <c r="K223" s="186"/>
      <c r="L223" s="345">
        <f>'WS M - Cost of Capital'!E55</f>
        <v>46855966.666666605</v>
      </c>
      <c r="M223" s="186"/>
      <c r="N223" s="160"/>
      <c r="O223" s="160"/>
      <c r="P223" s="160"/>
      <c r="Q223" s="160"/>
      <c r="R223" s="160"/>
      <c r="S223" s="160"/>
      <c r="T223" s="160"/>
      <c r="U223" s="160"/>
      <c r="V223" s="160"/>
      <c r="W223" s="160"/>
      <c r="X223" s="160"/>
    </row>
    <row r="224" spans="2:24">
      <c r="B224" s="170">
        <f t="shared" ref="B224:B230" si="9">B223+1</f>
        <v>129</v>
      </c>
      <c r="C224" s="171"/>
      <c r="D224" s="186" t="s">
        <v>501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1431696602.6089919</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40">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1431696602.6089919</v>
      </c>
      <c r="M230" s="168"/>
    </row>
    <row r="231" spans="2:13" ht="15.75">
      <c r="B231" s="170"/>
      <c r="C231" s="171"/>
      <c r="D231" s="240"/>
      <c r="E231" s="186"/>
      <c r="F231" s="186"/>
      <c r="G231" s="1464" t="s">
        <v>264</v>
      </c>
      <c r="H231" s="1464"/>
      <c r="I231" s="186"/>
      <c r="J231" s="271" t="s">
        <v>435</v>
      </c>
      <c r="K231" s="186"/>
      <c r="L231" s="186"/>
      <c r="M231" s="168"/>
    </row>
    <row r="232" spans="2:13" ht="15.75" thickBot="1">
      <c r="B232" s="170"/>
      <c r="C232" s="171"/>
      <c r="D232" s="240"/>
      <c r="E232" s="160"/>
      <c r="F232" s="186"/>
      <c r="G232" s="350" t="s">
        <v>434</v>
      </c>
      <c r="H232" s="350" t="s">
        <v>436</v>
      </c>
      <c r="I232" s="344" t="s">
        <v>826</v>
      </c>
      <c r="J232" s="351" t="s">
        <v>544</v>
      </c>
      <c r="K232" s="186"/>
      <c r="L232" s="350" t="s">
        <v>437</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406</v>
      </c>
      <c r="G233" s="203">
        <f>'WS M - Cost of Capital'!H42</f>
        <v>1158569230.7692308</v>
      </c>
      <c r="H233" s="352">
        <f>IF($G$236=0,0,G233/$G$236)</f>
        <v>0.44727811942692608</v>
      </c>
      <c r="I233" s="1318">
        <f>IF(H235&gt;E238,1-I235,H233)</f>
        <v>0.44999999999999996</v>
      </c>
      <c r="J233" s="352">
        <f>IF(G233=0,0,L223/G233)</f>
        <v>4.0442957936623808E-2</v>
      </c>
      <c r="K233" s="160"/>
      <c r="L233" s="353">
        <f>I233*J233</f>
        <v>1.8199331071480713E-2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18">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1431696602.6089919</v>
      </c>
      <c r="H235" s="355">
        <f>IF($G$236=0,0,G235/$G$236)</f>
        <v>0.55272188057307403</v>
      </c>
      <c r="I235" s="1318">
        <f>IF(H235&gt;E238,E238,H235)</f>
        <v>0.55000000000000004</v>
      </c>
      <c r="J235" s="420">
        <v>0.10349999999999999</v>
      </c>
      <c r="K235" s="160"/>
      <c r="L235" s="356">
        <f>IF(H235&gt;0.55,I235*J235,H235*J235)</f>
        <v>5.6925000000000003E-2</v>
      </c>
      <c r="M235" s="168"/>
    </row>
    <row r="236" spans="2:13" ht="15.75">
      <c r="B236" s="170">
        <f>B235+1</f>
        <v>139</v>
      </c>
      <c r="C236" s="171"/>
      <c r="D236" s="240" t="str">
        <f>" Total (Sum lns "&amp;B233&amp;" to "&amp;B235&amp;")"</f>
        <v xml:space="preserve"> Total (Sum lns 136 to 138)</v>
      </c>
      <c r="E236" s="160"/>
      <c r="F236" s="160"/>
      <c r="G236" s="203">
        <f>SUM(G233:G235)</f>
        <v>2590265833.3782225</v>
      </c>
      <c r="H236" s="210">
        <f>SUM(H233:H235)</f>
        <v>1</v>
      </c>
      <c r="I236" s="186"/>
      <c r="J236" s="357"/>
      <c r="K236" s="259" t="s">
        <v>354</v>
      </c>
      <c r="L236" s="358">
        <f>SUM(L233:L235)</f>
        <v>7.5124331071480713E-2</v>
      </c>
      <c r="M236" s="168"/>
    </row>
    <row r="237" spans="2:13" ht="15.75">
      <c r="B237" s="170"/>
      <c r="C237" s="171"/>
      <c r="D237" s="240"/>
      <c r="E237" s="160"/>
      <c r="F237" s="160"/>
      <c r="G237" s="203"/>
      <c r="H237" s="210"/>
      <c r="I237" s="186"/>
      <c r="J237" s="357"/>
      <c r="K237" s="259"/>
      <c r="L237" s="358"/>
      <c r="M237" s="168"/>
    </row>
    <row r="238" spans="2:13">
      <c r="B238" s="193">
        <f>B236+1</f>
        <v>140</v>
      </c>
      <c r="C238" s="194"/>
      <c r="D238" s="240" t="s">
        <v>825</v>
      </c>
      <c r="E238" s="1318">
        <v>0.55000000000000004</v>
      </c>
      <c r="F238" s="186"/>
      <c r="G238" s="186"/>
      <c r="H238" s="186"/>
      <c r="I238" s="197"/>
      <c r="J238" s="168"/>
      <c r="K238" s="296"/>
      <c r="L238" s="168"/>
      <c r="M238" s="168"/>
    </row>
    <row r="239" spans="2:13" ht="15.75" hidden="1">
      <c r="B239" s="359"/>
      <c r="C239" s="360"/>
      <c r="D239" s="361" t="s">
        <v>215</v>
      </c>
      <c r="E239" s="362"/>
      <c r="F239" s="363"/>
      <c r="G239" s="364"/>
      <c r="H239" s="363"/>
      <c r="I239" s="363"/>
      <c r="J239" s="363"/>
      <c r="K239" s="365"/>
      <c r="L239" s="366"/>
      <c r="M239" s="168"/>
    </row>
    <row r="240" spans="2:13" ht="15.75" hidden="1" thickBot="1">
      <c r="B240" s="359">
        <f>B236+1</f>
        <v>140</v>
      </c>
      <c r="C240" s="360"/>
      <c r="D240" s="367" t="s">
        <v>480</v>
      </c>
      <c r="E240" s="363"/>
      <c r="F240" s="363"/>
      <c r="G240" s="363"/>
      <c r="H240" s="363"/>
      <c r="I240" s="363"/>
      <c r="J240" s="363"/>
      <c r="K240" s="363"/>
      <c r="L240" s="368" t="s">
        <v>434</v>
      </c>
      <c r="M240" s="168"/>
    </row>
    <row r="241" spans="2:21" hidden="1">
      <c r="B241" s="359">
        <f t="shared" ref="B241:B248" si="10">+B240+1</f>
        <v>141</v>
      </c>
      <c r="C241" s="360"/>
      <c r="D241" s="363" t="s">
        <v>500</v>
      </c>
      <c r="E241" s="364" t="str">
        <f>"(Worksheet Q, ln. "&amp;'WS Q Cap Structure'!A199&amp;")"</f>
        <v>(Worksheet Q, ln. 132)</v>
      </c>
      <c r="F241" s="363"/>
      <c r="G241" s="363"/>
      <c r="H241" s="363"/>
      <c r="I241" s="363"/>
      <c r="J241" s="363"/>
      <c r="K241" s="363"/>
      <c r="L241" s="369">
        <f>'WS Q Cap Structure'!J199</f>
        <v>0</v>
      </c>
      <c r="M241" s="168"/>
    </row>
    <row r="242" spans="2:21" hidden="1">
      <c r="B242" s="359">
        <f t="shared" si="10"/>
        <v>142</v>
      </c>
      <c r="C242" s="360"/>
      <c r="D242" s="363" t="s">
        <v>501</v>
      </c>
      <c r="E242" s="364" t="str">
        <f>"(Worksheet Q, ln. "&amp;'WS Q Cap Structure'!A203&amp;")"</f>
        <v>(Worksheet Q, ln. 134)</v>
      </c>
      <c r="F242" s="363"/>
      <c r="G242" s="363"/>
      <c r="H242" s="363"/>
      <c r="I242" s="363"/>
      <c r="J242" s="363"/>
      <c r="K242" s="363"/>
      <c r="L242" s="369">
        <f>'WS Q Cap Structure'!J203</f>
        <v>0</v>
      </c>
      <c r="M242" s="168"/>
    </row>
    <row r="243" spans="2:21" hidden="1">
      <c r="B243" s="359">
        <f t="shared" si="10"/>
        <v>143</v>
      </c>
      <c r="C243" s="360"/>
      <c r="D243" s="370" t="s">
        <v>27</v>
      </c>
      <c r="E243" s="363"/>
      <c r="F243" s="363"/>
      <c r="G243" s="363"/>
      <c r="H243" s="371"/>
      <c r="I243" s="363"/>
      <c r="J243" s="363"/>
      <c r="K243" s="363"/>
      <c r="L243" s="369"/>
      <c r="M243" s="168"/>
    </row>
    <row r="244" spans="2:21" hidden="1">
      <c r="B244" s="359">
        <f t="shared" si="10"/>
        <v>144</v>
      </c>
      <c r="C244" s="360"/>
      <c r="D244" s="363" t="s">
        <v>28</v>
      </c>
      <c r="E244" s="364" t="str">
        <f>"(Worksheet Q, ln. "&amp;'WS Q Cap Structure'!A206&amp;")"</f>
        <v>(Worksheet Q, ln. 135)</v>
      </c>
      <c r="F244" s="363"/>
      <c r="G244" s="372"/>
      <c r="H244" s="373"/>
      <c r="I244" s="363"/>
      <c r="J244" s="363"/>
      <c r="K244" s="363"/>
      <c r="L244" s="374" t="e">
        <f>'WS Q Cap Structure'!J206</f>
        <v>#DIV/0!</v>
      </c>
      <c r="M244" s="168"/>
    </row>
    <row r="245" spans="2:21" hidden="1">
      <c r="B245" s="359">
        <f t="shared" si="10"/>
        <v>145</v>
      </c>
      <c r="C245" s="360"/>
      <c r="D245" s="363" t="s">
        <v>163</v>
      </c>
      <c r="E245" s="364" t="str">
        <f>"(Worksheet Q, ln. "&amp;'WS Q Cap Structure'!A207&amp;")"</f>
        <v>(Worksheet Q, ln. 136)</v>
      </c>
      <c r="F245" s="363"/>
      <c r="G245" s="363"/>
      <c r="H245" s="373"/>
      <c r="I245" s="363"/>
      <c r="J245" s="363"/>
      <c r="K245" s="363"/>
      <c r="L245" s="374">
        <f>'WS Q Cap Structure'!J207</f>
        <v>0</v>
      </c>
      <c r="M245" s="168"/>
    </row>
    <row r="246" spans="2:21" hidden="1">
      <c r="B246" s="359">
        <f>+B245+1</f>
        <v>146</v>
      </c>
      <c r="C246" s="360"/>
      <c r="D246" s="363" t="s">
        <v>156</v>
      </c>
      <c r="E246" s="364" t="str">
        <f>"(Worksheet Q, ln. "&amp;'WS Q Cap Structure'!A208&amp;")"</f>
        <v>(Worksheet Q, ln. 137)</v>
      </c>
      <c r="F246" s="363"/>
      <c r="G246" s="363"/>
      <c r="H246" s="373"/>
      <c r="I246" s="363"/>
      <c r="J246" s="363"/>
      <c r="K246" s="363"/>
      <c r="L246" s="374" t="e">
        <f>'WS Q Cap Structure'!J208</f>
        <v>#DIV/0!</v>
      </c>
      <c r="M246" s="168"/>
    </row>
    <row r="247" spans="2:21" ht="15.75" hidden="1" thickBot="1">
      <c r="B247" s="359">
        <f t="shared" si="10"/>
        <v>147</v>
      </c>
      <c r="C247" s="360"/>
      <c r="D247" s="363" t="s">
        <v>162</v>
      </c>
      <c r="E247" s="364" t="str">
        <f>"(Worksheet Q, ln. "&amp;'WS Q Cap Structure'!A209&amp;")"</f>
        <v>(Worksheet Q, ln. 138)</v>
      </c>
      <c r="F247" s="363"/>
      <c r="G247" s="363"/>
      <c r="H247" s="373"/>
      <c r="I247" s="363"/>
      <c r="J247" s="375"/>
      <c r="K247" s="363"/>
      <c r="L247" s="376" t="e">
        <f>'WS Q Cap Structure'!J209</f>
        <v>#DIV/0!</v>
      </c>
      <c r="M247" s="168"/>
    </row>
    <row r="248" spans="2:21" hidden="1">
      <c r="B248" s="359">
        <f t="shared" si="10"/>
        <v>148</v>
      </c>
      <c r="C248" s="360"/>
      <c r="D248" s="364" t="s">
        <v>29</v>
      </c>
      <c r="E248" s="363" t="str">
        <f>"(ln "&amp;B244&amp;" - ln "&amp;B245&amp;" - ln "&amp;B246&amp;" - ln "&amp;B247&amp;")"</f>
        <v>(ln 144 - ln 145 - ln 146 - ln 147)</v>
      </c>
      <c r="F248" s="377"/>
      <c r="G248" s="364"/>
      <c r="H248" s="372"/>
      <c r="I248" s="372"/>
      <c r="J248" s="372"/>
      <c r="K248" s="372"/>
      <c r="L248" s="369" t="e">
        <f>+L244-L245-L246-L247</f>
        <v>#DIV/0!</v>
      </c>
      <c r="M248" s="168"/>
    </row>
    <row r="249" spans="2:21" ht="15.75" hidden="1">
      <c r="B249" s="359"/>
      <c r="C249" s="360"/>
      <c r="D249" s="367"/>
      <c r="E249" s="363"/>
      <c r="F249" s="363"/>
      <c r="G249" s="1463"/>
      <c r="H249" s="1463"/>
      <c r="I249" s="378"/>
      <c r="J249" s="364"/>
      <c r="K249" s="363"/>
      <c r="L249" s="363"/>
      <c r="M249" s="168"/>
    </row>
    <row r="250" spans="2:21" ht="15.75" hidden="1" thickBot="1">
      <c r="B250" s="359">
        <f>+B248+1</f>
        <v>149</v>
      </c>
      <c r="C250" s="360"/>
      <c r="D250" s="367"/>
      <c r="E250" s="364"/>
      <c r="F250" s="364"/>
      <c r="G250" s="379" t="s">
        <v>436</v>
      </c>
      <c r="H250" s="379" t="s">
        <v>434</v>
      </c>
      <c r="I250" s="378"/>
      <c r="J250" s="380" t="s">
        <v>435</v>
      </c>
      <c r="K250" s="363"/>
      <c r="L250" s="379" t="s">
        <v>437</v>
      </c>
      <c r="M250" s="168"/>
      <c r="N250" s="162"/>
      <c r="O250" s="162"/>
      <c r="P250" s="162"/>
      <c r="Q250" s="162"/>
      <c r="R250" s="162"/>
      <c r="S250" s="162"/>
      <c r="T250" s="162"/>
      <c r="U250" s="162"/>
    </row>
    <row r="251" spans="2:21" hidden="1">
      <c r="B251" s="359">
        <f>+B250+1</f>
        <v>150</v>
      </c>
      <c r="C251" s="360"/>
      <c r="D251" s="367" t="str">
        <f>"  Long Term Debt   (Worksheet Q, ln "&amp;'WS Q Cap Structure'!A213&amp;")"</f>
        <v xml:space="preserve">  Long Term Debt   (Worksheet Q, ln 140)</v>
      </c>
      <c r="E251" s="364"/>
      <c r="F251" s="364"/>
      <c r="G251" s="381" t="e">
        <f>'WS Q Cap Structure'!J218</f>
        <v>#DIV/0!</v>
      </c>
      <c r="H251" s="369" t="e">
        <f>$H$254*G251</f>
        <v>#DIV/0!</v>
      </c>
      <c r="I251" s="382"/>
      <c r="J251" s="375" t="e">
        <f>+L241/H251</f>
        <v>#DIV/0!</v>
      </c>
      <c r="K251" s="364"/>
      <c r="L251" s="383" t="e">
        <f>+G251*J251</f>
        <v>#DIV/0!</v>
      </c>
      <c r="M251" s="384"/>
      <c r="N251" s="162"/>
      <c r="O251" s="162"/>
      <c r="P251" s="162"/>
      <c r="Q251" s="162"/>
      <c r="R251" s="162"/>
      <c r="S251" s="162"/>
      <c r="T251" s="162"/>
      <c r="U251" s="162"/>
    </row>
    <row r="252" spans="2:21" hidden="1">
      <c r="B252" s="359">
        <f>+B251+1</f>
        <v>151</v>
      </c>
      <c r="C252" s="360"/>
      <c r="D252" s="367" t="str">
        <f>"  Preferred Stock (Worksheet Q, ln "&amp;'WS Q Cap Structure'!A214&amp;")"</f>
        <v xml:space="preserve">  Preferred Stock (Worksheet Q, ln 141)</v>
      </c>
      <c r="E252" s="364"/>
      <c r="F252" s="364"/>
      <c r="G252" s="381" t="e">
        <f>'WS Q Cap Structure'!J219</f>
        <v>#DIV/0!</v>
      </c>
      <c r="H252" s="369" t="e">
        <f>$H$254*G252</f>
        <v>#DIV/0!</v>
      </c>
      <c r="I252" s="382"/>
      <c r="J252" s="375">
        <f>IF(L242=0,0,+L242/H252)</f>
        <v>0</v>
      </c>
      <c r="K252" s="364"/>
      <c r="L252" s="385" t="e">
        <f>+G252*J252</f>
        <v>#DIV/0!</v>
      </c>
      <c r="M252" s="168"/>
    </row>
    <row r="253" spans="2:21" ht="15.75" hidden="1" thickBot="1">
      <c r="B253" s="359">
        <f>+B252+1</f>
        <v>152</v>
      </c>
      <c r="C253" s="360"/>
      <c r="D253" s="367" t="str">
        <f>"  Common Stock (Worksheet Q, ln "&amp;'WS Q Cap Structure'!A215&amp;")"</f>
        <v xml:space="preserve">  Common Stock (Worksheet Q, ln 142)</v>
      </c>
      <c r="E253" s="364"/>
      <c r="F253" s="364"/>
      <c r="G253" s="386" t="e">
        <f>'WS Q Cap Structure'!J220</f>
        <v>#DIV/0!</v>
      </c>
      <c r="H253" s="387" t="e">
        <f>$H$254*G253</f>
        <v>#DIV/0!</v>
      </c>
      <c r="I253" s="382"/>
      <c r="J253" s="151">
        <v>0.1149</v>
      </c>
      <c r="K253" s="364"/>
      <c r="L253" s="388" t="e">
        <f>+G253*J253</f>
        <v>#DIV/0!</v>
      </c>
      <c r="M253" s="168"/>
    </row>
    <row r="254" spans="2:21" ht="15.75" hidden="1">
      <c r="B254" s="359">
        <f>+B253+1</f>
        <v>153</v>
      </c>
      <c r="C254" s="360"/>
      <c r="D254" s="367" t="str">
        <f>" Total (Worksheet Q, ln "&amp;'WS Q Cap Structure'!A216&amp;")"</f>
        <v xml:space="preserve"> Total (Worksheet Q, ln 143)</v>
      </c>
      <c r="E254" s="364"/>
      <c r="F254" s="364"/>
      <c r="G254" s="364"/>
      <c r="H254" s="369" t="e">
        <f>'WS Q Cap Structure'!J216</f>
        <v>#DIV/0!</v>
      </c>
      <c r="I254" s="378"/>
      <c r="J254" s="389"/>
      <c r="K254" s="390" t="s">
        <v>354</v>
      </c>
      <c r="L254" s="391" t="e">
        <f>SUM(L251:L253)</f>
        <v>#DIV/0!</v>
      </c>
      <c r="M254" s="392"/>
    </row>
    <row r="255" spans="2:21">
      <c r="B255" s="170"/>
      <c r="C255" s="209"/>
      <c r="D255" s="314"/>
      <c r="E255" s="263"/>
      <c r="F255" s="393"/>
      <c r="G255" s="393"/>
      <c r="H255" s="393"/>
      <c r="I255" s="393"/>
      <c r="J255" s="394"/>
      <c r="K255" s="394"/>
      <c r="L255" s="394"/>
      <c r="M255" s="395"/>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6"/>
      <c r="E258" s="171"/>
      <c r="F258" s="271" t="str">
        <f>F195</f>
        <v>Transmission Cost of Service Formula Rate</v>
      </c>
      <c r="G258" s="168"/>
      <c r="H258" s="168"/>
      <c r="I258" s="168"/>
      <c r="J258" s="168"/>
      <c r="K258" s="165"/>
      <c r="L258" s="184"/>
      <c r="M258" s="397"/>
      <c r="N258" s="181"/>
      <c r="O258" s="181"/>
      <c r="P258" s="181"/>
      <c r="Q258" s="181"/>
      <c r="R258" s="181"/>
      <c r="S258" s="181"/>
      <c r="T258" s="181"/>
      <c r="U258" s="181"/>
    </row>
    <row r="259" spans="2:21" ht="15.75">
      <c r="B259" s="269"/>
      <c r="C259" s="171"/>
      <c r="D259" s="396"/>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6"/>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6"/>
      <c r="E261" s="274"/>
      <c r="F261" s="271" t="str">
        <f>F198</f>
        <v>West Virginia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6"/>
      <c r="E262" s="274"/>
      <c r="F262" s="271"/>
      <c r="G262" s="168"/>
      <c r="H262" s="168"/>
      <c r="I262" s="168"/>
      <c r="J262" s="168"/>
      <c r="K262" s="165"/>
      <c r="L262" s="184"/>
      <c r="M262" s="160"/>
      <c r="N262" s="181"/>
      <c r="O262" s="181"/>
      <c r="P262" s="181"/>
      <c r="Q262" s="181"/>
      <c r="R262" s="181"/>
      <c r="S262" s="181"/>
      <c r="T262" s="181"/>
      <c r="U262" s="181"/>
    </row>
    <row r="263" spans="2:21" ht="15.75">
      <c r="B263" s="398" t="s">
        <v>466</v>
      </c>
      <c r="C263" s="178"/>
      <c r="D263" s="205"/>
      <c r="E263" s="181"/>
      <c r="F263" s="398" t="s">
        <v>465</v>
      </c>
      <c r="G263" s="186"/>
      <c r="H263" s="186"/>
      <c r="I263" s="186"/>
      <c r="J263" s="186" t="s">
        <v>622</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324</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9" t="s">
        <v>438</v>
      </c>
      <c r="C268" s="178"/>
      <c r="D268" s="205" t="s">
        <v>266</v>
      </c>
      <c r="E268" s="181"/>
      <c r="F268" s="181"/>
      <c r="G268" s="186"/>
      <c r="H268" s="186"/>
      <c r="I268" s="186"/>
      <c r="J268" s="186"/>
      <c r="K268" s="181"/>
      <c r="L268" s="186"/>
      <c r="M268" s="181"/>
      <c r="N268" s="181"/>
      <c r="O268" s="181"/>
      <c r="P268" s="181"/>
      <c r="Q268" s="181"/>
      <c r="R268" s="181"/>
      <c r="S268" s="181"/>
      <c r="T268" s="181"/>
      <c r="U268" s="181"/>
    </row>
    <row r="269" spans="2:21">
      <c r="B269" s="399"/>
      <c r="C269" s="272"/>
      <c r="D269" s="205" t="s">
        <v>164</v>
      </c>
      <c r="E269" s="181"/>
      <c r="F269" s="181"/>
      <c r="G269" s="181"/>
      <c r="H269" s="181"/>
      <c r="I269" s="181"/>
      <c r="J269" s="181"/>
      <c r="K269" s="181"/>
      <c r="L269" s="181"/>
      <c r="M269" s="181"/>
      <c r="N269" s="181"/>
      <c r="O269" s="181"/>
      <c r="P269" s="181"/>
      <c r="Q269" s="181"/>
      <c r="R269" s="181"/>
      <c r="S269" s="181"/>
      <c r="T269" s="181"/>
      <c r="U269" s="181"/>
    </row>
    <row r="270" spans="2:21">
      <c r="B270" s="400"/>
      <c r="C270" s="160"/>
      <c r="D270" s="155" t="s">
        <v>165</v>
      </c>
      <c r="E270" s="401"/>
      <c r="F270" s="401"/>
      <c r="G270" s="181"/>
      <c r="H270" s="181"/>
      <c r="I270" s="181"/>
      <c r="J270" s="181"/>
      <c r="K270" s="181"/>
      <c r="L270" s="181"/>
      <c r="M270" s="181"/>
      <c r="N270" s="181"/>
      <c r="O270" s="181"/>
      <c r="P270" s="181"/>
      <c r="Q270" s="181"/>
      <c r="R270" s="181"/>
      <c r="S270" s="181"/>
      <c r="T270" s="181"/>
      <c r="U270" s="181"/>
    </row>
    <row r="271" spans="2:21">
      <c r="B271" s="400"/>
      <c r="C271" s="160"/>
      <c r="D271" s="205" t="s">
        <v>267</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268</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166</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167</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603</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590</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604</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591</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273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4"/>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439</v>
      </c>
      <c r="C281" s="194"/>
      <c r="D281" s="1465" t="s">
        <v>605</v>
      </c>
      <c r="E281" s="1459"/>
      <c r="F281" s="1459"/>
      <c r="G281" s="1459"/>
      <c r="H281" s="1459"/>
      <c r="I281" s="1459"/>
      <c r="J281" s="1459"/>
      <c r="K281" s="1459"/>
      <c r="L281" s="205"/>
      <c r="M281" s="181"/>
      <c r="N281" s="181"/>
      <c r="O281" s="181"/>
      <c r="P281" s="181"/>
      <c r="Q281" s="181"/>
      <c r="R281" s="181"/>
      <c r="S281" s="181"/>
      <c r="T281" s="181"/>
      <c r="U281" s="181"/>
    </row>
    <row r="282" spans="2:21">
      <c r="B282" s="193"/>
      <c r="C282" s="194"/>
      <c r="D282" s="1459"/>
      <c r="E282" s="1459"/>
      <c r="F282" s="1459"/>
      <c r="G282" s="1459"/>
      <c r="H282" s="1459"/>
      <c r="I282" s="1459"/>
      <c r="J282" s="1459"/>
      <c r="K282" s="1459"/>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440</v>
      </c>
      <c r="C284" s="194"/>
      <c r="D284" s="395" t="s">
        <v>802</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5"/>
      <c r="E285" s="181"/>
      <c r="F285" s="181"/>
      <c r="G285" s="181"/>
      <c r="H285" s="181"/>
      <c r="I285" s="181"/>
      <c r="J285" s="181"/>
      <c r="K285" s="181"/>
      <c r="L285" s="181"/>
      <c r="M285" s="181"/>
      <c r="N285" s="181"/>
      <c r="O285" s="181"/>
      <c r="P285" s="181"/>
      <c r="Q285" s="181"/>
      <c r="R285" s="181"/>
      <c r="S285" s="181"/>
      <c r="T285" s="181"/>
      <c r="U285" s="181"/>
    </row>
    <row r="286" spans="2:21">
      <c r="B286" s="193" t="s">
        <v>441</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279</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285</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154</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592</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593</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594</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100</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442</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2"/>
      <c r="F295" s="402"/>
      <c r="G295" s="402"/>
      <c r="H295" s="402"/>
      <c r="I295" s="402"/>
      <c r="J295" s="402"/>
      <c r="K295" s="402"/>
      <c r="L295" s="403"/>
      <c r="M295" s="181"/>
      <c r="N295" s="181"/>
      <c r="O295" s="181"/>
      <c r="P295" s="181"/>
      <c r="Q295" s="181"/>
      <c r="R295" s="181"/>
      <c r="S295" s="181"/>
      <c r="T295" s="181"/>
      <c r="U295" s="181"/>
    </row>
    <row r="296" spans="2:21">
      <c r="B296" s="193"/>
      <c r="C296" s="205"/>
      <c r="D296" s="404"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3"/>
      <c r="M296" s="181"/>
      <c r="N296" s="181"/>
      <c r="O296" s="181"/>
      <c r="P296" s="181"/>
      <c r="Q296" s="181"/>
      <c r="R296" s="181"/>
      <c r="S296" s="181"/>
      <c r="T296" s="181"/>
      <c r="U296" s="181"/>
    </row>
    <row r="297" spans="2:21">
      <c r="B297" s="193"/>
      <c r="C297" s="205"/>
      <c r="D297" s="405" t="str">
        <f>+"2)  Costs of Transmission of Electricity by Others, as described in Note H."</f>
        <v>2)  Costs of Transmission of Electricity by Others, as described in Note H.</v>
      </c>
      <c r="E297" s="402"/>
      <c r="F297" s="402"/>
      <c r="G297" s="402"/>
      <c r="H297" s="402"/>
      <c r="I297" s="402"/>
      <c r="J297" s="402"/>
      <c r="K297" s="402"/>
      <c r="L297" s="403"/>
      <c r="M297" s="181"/>
      <c r="N297" s="181"/>
      <c r="O297" s="181"/>
      <c r="P297" s="181"/>
      <c r="Q297" s="181"/>
      <c r="R297" s="181"/>
      <c r="S297" s="181"/>
      <c r="T297" s="181"/>
      <c r="U297" s="181"/>
    </row>
    <row r="298" spans="2:21">
      <c r="B298" s="193"/>
      <c r="C298" s="205"/>
      <c r="D298" s="404"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3"/>
      <c r="M298" s="181"/>
      <c r="N298" s="181"/>
      <c r="O298" s="181"/>
      <c r="P298" s="181"/>
      <c r="Q298" s="181"/>
      <c r="R298" s="181"/>
      <c r="S298" s="181"/>
      <c r="T298" s="181"/>
      <c r="U298" s="181"/>
    </row>
    <row r="299" spans="2:21">
      <c r="B299" s="193"/>
      <c r="C299" s="243"/>
      <c r="D299" s="405" t="str">
        <f>"4) All A&amp;G Expenses, as shown on line "&amp;B147&amp;"."</f>
        <v>4) All A&amp;G Expenses, as shown on line 78.</v>
      </c>
      <c r="E299" s="402"/>
      <c r="F299" s="402"/>
      <c r="G299" s="402"/>
      <c r="H299" s="402"/>
      <c r="I299" s="402"/>
      <c r="J299" s="402"/>
      <c r="K299" s="402"/>
      <c r="L299" s="403"/>
      <c r="M299" s="181"/>
      <c r="N299" s="181"/>
      <c r="O299" s="181"/>
      <c r="P299" s="181"/>
      <c r="Q299" s="181"/>
      <c r="R299" s="181"/>
      <c r="S299" s="181"/>
      <c r="T299" s="181"/>
      <c r="U299" s="181"/>
    </row>
    <row r="300" spans="2:21">
      <c r="B300" s="193"/>
      <c r="C300" s="194"/>
      <c r="D300" s="404"/>
      <c r="E300" s="406"/>
      <c r="F300" s="406"/>
      <c r="G300" s="406"/>
      <c r="H300" s="406"/>
      <c r="I300" s="406"/>
      <c r="J300" s="406"/>
      <c r="K300" s="406"/>
      <c r="L300" s="181"/>
      <c r="M300" s="181"/>
      <c r="N300" s="181"/>
      <c r="O300" s="181"/>
      <c r="P300" s="181"/>
      <c r="Q300" s="181"/>
      <c r="R300" s="181"/>
      <c r="S300" s="181"/>
      <c r="T300" s="181"/>
      <c r="U300" s="181"/>
    </row>
    <row r="301" spans="2:21">
      <c r="B301" s="399" t="s">
        <v>443</v>
      </c>
      <c r="C301" s="272"/>
      <c r="D301" s="407"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7"/>
      <c r="F301" s="407"/>
      <c r="G301" s="407"/>
      <c r="H301" s="407"/>
      <c r="I301" s="407"/>
      <c r="J301" s="407"/>
      <c r="K301" s="407"/>
      <c r="L301" s="160"/>
      <c r="M301" s="181"/>
      <c r="N301" s="181"/>
      <c r="O301" s="181"/>
      <c r="P301" s="181"/>
      <c r="Q301" s="181"/>
      <c r="R301" s="181"/>
      <c r="S301" s="181"/>
      <c r="T301" s="181"/>
      <c r="U301" s="181"/>
    </row>
    <row r="302" spans="2:21">
      <c r="B302" s="400"/>
      <c r="C302" s="160"/>
      <c r="D302" s="407" t="s">
        <v>499</v>
      </c>
      <c r="E302" s="407"/>
      <c r="F302" s="407"/>
      <c r="G302" s="407"/>
      <c r="H302" s="407"/>
      <c r="I302" s="407"/>
      <c r="J302" s="407"/>
      <c r="K302" s="407"/>
      <c r="L302" s="160"/>
      <c r="M302" s="181"/>
      <c r="N302" s="181"/>
      <c r="O302" s="181"/>
      <c r="P302" s="181"/>
      <c r="Q302" s="181"/>
      <c r="R302" s="181"/>
      <c r="S302" s="181"/>
      <c r="T302" s="181"/>
      <c r="U302" s="181"/>
    </row>
    <row r="303" spans="2:21">
      <c r="B303" s="400"/>
      <c r="C303" s="160"/>
      <c r="D303" s="407" t="str">
        <f>"expense is included on line "&amp;B185&amp;"."</f>
        <v>expense is included on line 110.</v>
      </c>
      <c r="E303" s="407"/>
      <c r="F303" s="407"/>
      <c r="G303" s="407"/>
      <c r="H303" s="407"/>
      <c r="I303" s="407"/>
      <c r="J303" s="407"/>
      <c r="K303" s="407"/>
      <c r="L303" s="160"/>
      <c r="M303" s="181"/>
      <c r="N303" s="181"/>
      <c r="O303" s="181"/>
      <c r="P303" s="181"/>
      <c r="Q303" s="181"/>
      <c r="R303" s="181"/>
      <c r="S303" s="181"/>
      <c r="T303" s="181"/>
      <c r="U303" s="181"/>
    </row>
    <row r="304" spans="2:21" ht="21" customHeight="1">
      <c r="B304" s="400"/>
      <c r="C304" s="160"/>
      <c r="D304" s="407"/>
      <c r="E304" s="407"/>
      <c r="F304" s="407"/>
      <c r="G304" s="407"/>
      <c r="H304" s="407"/>
      <c r="I304" s="407"/>
      <c r="J304" s="407"/>
      <c r="K304" s="407"/>
      <c r="L304" s="160"/>
      <c r="M304" s="160"/>
      <c r="N304" s="181"/>
      <c r="O304" s="181"/>
      <c r="P304" s="181"/>
      <c r="Q304" s="181"/>
      <c r="R304" s="181"/>
      <c r="S304" s="181"/>
      <c r="T304" s="181"/>
      <c r="U304" s="181"/>
    </row>
    <row r="305" spans="2:21" ht="14.25" customHeight="1">
      <c r="B305" s="399" t="s">
        <v>444</v>
      </c>
      <c r="C305" s="160"/>
      <c r="D305" s="1451"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51"/>
      <c r="F305" s="1451"/>
      <c r="G305" s="1451"/>
      <c r="H305" s="1451"/>
      <c r="I305" s="1451"/>
      <c r="J305" s="1451"/>
      <c r="K305" s="1451"/>
      <c r="L305" s="160"/>
      <c r="M305" s="160"/>
      <c r="N305" s="181"/>
      <c r="O305" s="181"/>
      <c r="P305" s="181"/>
      <c r="Q305" s="181"/>
      <c r="R305" s="181"/>
      <c r="S305" s="181"/>
      <c r="T305" s="181"/>
      <c r="U305" s="181"/>
    </row>
    <row r="306" spans="2:21" ht="45" customHeight="1">
      <c r="B306" s="399"/>
      <c r="C306" s="160"/>
      <c r="D306" s="1451"/>
      <c r="E306" s="1451"/>
      <c r="F306" s="1451"/>
      <c r="G306" s="1451"/>
      <c r="H306" s="1451"/>
      <c r="I306" s="1451"/>
      <c r="J306" s="1451"/>
      <c r="K306" s="1451"/>
      <c r="L306" s="160"/>
      <c r="M306" s="160"/>
      <c r="N306" s="181"/>
      <c r="O306" s="181"/>
      <c r="P306" s="181"/>
      <c r="Q306" s="181"/>
      <c r="R306" s="181"/>
      <c r="S306" s="181"/>
      <c r="T306" s="181"/>
      <c r="U306" s="181"/>
    </row>
    <row r="307" spans="2:21" ht="5.25" hidden="1" customHeight="1">
      <c r="B307" s="399"/>
      <c r="C307" s="160"/>
      <c r="D307" s="1451"/>
      <c r="E307" s="1451"/>
      <c r="F307" s="1451"/>
      <c r="G307" s="1451"/>
      <c r="H307" s="1451"/>
      <c r="I307" s="1451"/>
      <c r="J307" s="1451"/>
      <c r="K307" s="1451"/>
      <c r="L307" s="160"/>
      <c r="M307" s="160"/>
      <c r="N307" s="181"/>
      <c r="O307" s="181"/>
      <c r="P307" s="181"/>
      <c r="Q307" s="181"/>
      <c r="R307" s="181"/>
      <c r="S307" s="181"/>
      <c r="T307" s="181"/>
      <c r="U307" s="181"/>
    </row>
    <row r="308" spans="2:21">
      <c r="B308" s="399"/>
      <c r="C308" s="160"/>
      <c r="D308" s="404"/>
      <c r="E308" s="407"/>
      <c r="F308" s="407"/>
      <c r="G308" s="407"/>
      <c r="H308" s="407"/>
      <c r="I308" s="407"/>
      <c r="J308" s="407"/>
      <c r="K308" s="407"/>
      <c r="L308" s="160"/>
      <c r="M308" s="160"/>
      <c r="N308" s="181"/>
      <c r="O308" s="181"/>
      <c r="P308" s="181"/>
      <c r="Q308" s="181"/>
      <c r="R308" s="181"/>
      <c r="S308" s="181"/>
      <c r="T308" s="181"/>
      <c r="U308" s="181"/>
    </row>
    <row r="309" spans="2:21">
      <c r="B309" s="399" t="s">
        <v>445</v>
      </c>
      <c r="C309" s="160"/>
      <c r="D309" s="1454"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54"/>
      <c r="F309" s="1454"/>
      <c r="G309" s="1454"/>
      <c r="H309" s="1454"/>
      <c r="I309" s="1454"/>
      <c r="J309" s="1454"/>
      <c r="K309" s="1454"/>
      <c r="L309" s="160"/>
      <c r="M309" s="160"/>
      <c r="N309" s="181"/>
      <c r="O309" s="181"/>
      <c r="P309" s="181"/>
      <c r="Q309" s="181"/>
      <c r="R309" s="181"/>
      <c r="S309" s="181"/>
      <c r="T309" s="181"/>
      <c r="U309" s="181"/>
    </row>
    <row r="310" spans="2:21">
      <c r="B310" s="399"/>
      <c r="C310" s="160"/>
      <c r="D310" s="1454"/>
      <c r="E310" s="1454"/>
      <c r="F310" s="1454"/>
      <c r="G310" s="1454"/>
      <c r="H310" s="1454"/>
      <c r="I310" s="1454"/>
      <c r="J310" s="1454"/>
      <c r="K310" s="1454"/>
      <c r="L310" s="160"/>
      <c r="M310" s="160"/>
      <c r="N310" s="181"/>
      <c r="O310" s="181"/>
      <c r="P310" s="181"/>
      <c r="Q310" s="181"/>
      <c r="R310" s="181"/>
      <c r="S310" s="181"/>
      <c r="T310" s="181"/>
      <c r="U310" s="181"/>
    </row>
    <row r="311" spans="2:21">
      <c r="B311" s="399"/>
      <c r="C311" s="160"/>
      <c r="D311" s="1455"/>
      <c r="E311" s="1455"/>
      <c r="F311" s="1455"/>
      <c r="G311" s="1455"/>
      <c r="H311" s="1455"/>
      <c r="I311" s="1455"/>
      <c r="J311" s="1455"/>
      <c r="K311" s="1455"/>
      <c r="L311" s="160"/>
      <c r="M311" s="160"/>
      <c r="N311" s="181"/>
      <c r="O311" s="181"/>
      <c r="P311" s="181"/>
      <c r="Q311" s="181"/>
      <c r="R311" s="181"/>
      <c r="S311" s="181"/>
      <c r="T311" s="181"/>
      <c r="U311" s="181"/>
    </row>
    <row r="312" spans="2:21">
      <c r="B312" s="399"/>
      <c r="C312" s="160"/>
      <c r="D312" s="1456"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56"/>
      <c r="F312" s="1456"/>
      <c r="G312" s="1456"/>
      <c r="H312" s="1456"/>
      <c r="I312" s="1456"/>
      <c r="J312" s="1456"/>
      <c r="K312" s="408"/>
      <c r="L312" s="160"/>
      <c r="M312" s="160"/>
      <c r="N312" s="181"/>
      <c r="O312" s="181"/>
      <c r="P312" s="181"/>
      <c r="Q312" s="181"/>
      <c r="R312" s="181"/>
      <c r="S312" s="181"/>
      <c r="T312" s="181"/>
      <c r="U312" s="181"/>
    </row>
    <row r="313" spans="2:21">
      <c r="B313" s="399"/>
      <c r="C313" s="160"/>
      <c r="D313" s="1456"/>
      <c r="E313" s="1456"/>
      <c r="F313" s="1456"/>
      <c r="G313" s="1456"/>
      <c r="H313" s="1456"/>
      <c r="I313" s="1456"/>
      <c r="J313" s="1456"/>
      <c r="K313" s="408"/>
      <c r="L313" s="160"/>
      <c r="M313" s="160"/>
      <c r="N313" s="181"/>
      <c r="O313" s="181"/>
      <c r="P313" s="181"/>
      <c r="Q313" s="181"/>
      <c r="R313" s="181"/>
      <c r="S313" s="181"/>
      <c r="T313" s="181"/>
      <c r="U313" s="181"/>
    </row>
    <row r="314" spans="2:21" ht="22.5" customHeight="1">
      <c r="B314" s="399"/>
      <c r="C314" s="160"/>
      <c r="D314" s="407" t="str">
        <f>"The company records referenced on line"&amp;B150&amp;" is the "&amp;F9&amp;" general ledger."</f>
        <v>The company records referenced on line80 is the West Virginia Transmission Company general ledger.</v>
      </c>
      <c r="E314" s="409"/>
      <c r="F314" s="409"/>
      <c r="G314" s="409"/>
      <c r="H314" s="409"/>
      <c r="I314" s="409"/>
      <c r="J314" s="409"/>
      <c r="K314" s="408"/>
      <c r="L314" s="160"/>
      <c r="M314" s="160"/>
      <c r="N314" s="181"/>
      <c r="O314" s="181"/>
      <c r="P314" s="181"/>
      <c r="Q314" s="181"/>
      <c r="R314" s="181"/>
      <c r="S314" s="181"/>
      <c r="T314" s="181"/>
      <c r="U314" s="181"/>
    </row>
    <row r="315" spans="2:21">
      <c r="B315" s="399"/>
      <c r="C315" s="160"/>
      <c r="D315" s="409"/>
      <c r="E315" s="409"/>
      <c r="F315" s="409"/>
      <c r="G315" s="409"/>
      <c r="H315" s="409"/>
      <c r="I315" s="409"/>
      <c r="J315" s="409"/>
      <c r="K315" s="409"/>
      <c r="L315" s="160"/>
      <c r="M315" s="160"/>
      <c r="N315" s="181"/>
      <c r="O315" s="181"/>
      <c r="P315" s="181"/>
      <c r="Q315" s="181"/>
      <c r="R315" s="181"/>
      <c r="S315" s="181"/>
      <c r="T315" s="181"/>
      <c r="U315" s="181"/>
    </row>
    <row r="316" spans="2:21">
      <c r="B316" s="399" t="s">
        <v>446</v>
      </c>
      <c r="C316" s="160"/>
      <c r="D316" s="407" t="s">
        <v>595</v>
      </c>
      <c r="E316" s="209"/>
      <c r="F316" s="209"/>
      <c r="G316" s="209"/>
      <c r="H316" s="209"/>
      <c r="I316" s="209"/>
      <c r="J316" s="209"/>
      <c r="K316" s="209"/>
      <c r="L316" s="160"/>
      <c r="M316" s="160"/>
      <c r="N316" s="181"/>
      <c r="O316" s="181"/>
      <c r="P316" s="181"/>
      <c r="Q316" s="181"/>
      <c r="R316" s="181"/>
      <c r="S316" s="181"/>
      <c r="T316" s="181"/>
      <c r="U316" s="181"/>
    </row>
    <row r="317" spans="2:21">
      <c r="B317" s="399"/>
      <c r="C317" s="160"/>
      <c r="D317" s="410"/>
      <c r="E317" s="410"/>
      <c r="F317" s="410"/>
      <c r="G317" s="410"/>
      <c r="H317" s="410"/>
      <c r="I317" s="410"/>
      <c r="J317" s="410"/>
      <c r="K317" s="410"/>
      <c r="L317" s="160"/>
      <c r="M317" s="160"/>
      <c r="N317" s="181"/>
      <c r="O317" s="181"/>
      <c r="P317" s="181"/>
      <c r="Q317" s="181"/>
      <c r="R317" s="181"/>
      <c r="S317" s="181"/>
      <c r="T317" s="181"/>
      <c r="U317" s="181"/>
    </row>
    <row r="318" spans="2:21" ht="15" customHeight="1">
      <c r="B318" s="399" t="s">
        <v>447</v>
      </c>
      <c r="C318" s="160"/>
      <c r="D318" s="1458" t="s">
        <v>7</v>
      </c>
      <c r="E318" s="1459"/>
      <c r="F318" s="1459"/>
      <c r="G318" s="1459"/>
      <c r="H318" s="1459"/>
      <c r="I318" s="1459"/>
      <c r="J318" s="1459"/>
      <c r="K318" s="407"/>
      <c r="L318" s="160"/>
      <c r="M318" s="160"/>
      <c r="N318" s="181"/>
      <c r="O318" s="181"/>
      <c r="P318" s="181"/>
      <c r="Q318" s="181"/>
      <c r="R318" s="181"/>
      <c r="S318" s="181"/>
      <c r="T318" s="181"/>
      <c r="U318" s="181"/>
    </row>
    <row r="319" spans="2:21">
      <c r="B319" s="399"/>
      <c r="C319" s="160"/>
      <c r="D319" s="1460"/>
      <c r="E319" s="1460"/>
      <c r="F319" s="1460"/>
      <c r="G319" s="1460"/>
      <c r="H319" s="1460"/>
      <c r="I319" s="1460"/>
      <c r="J319" s="1460"/>
      <c r="K319" s="410"/>
      <c r="L319" s="160"/>
      <c r="M319" s="160"/>
      <c r="N319" s="181"/>
      <c r="O319" s="181"/>
      <c r="P319" s="181"/>
      <c r="Q319" s="181"/>
      <c r="R319" s="181"/>
      <c r="S319" s="181"/>
      <c r="T319" s="181"/>
      <c r="U319" s="181"/>
    </row>
    <row r="320" spans="2:21">
      <c r="B320" s="399"/>
      <c r="C320" s="160"/>
      <c r="D320" s="1459"/>
      <c r="E320" s="1459"/>
      <c r="F320" s="1459"/>
      <c r="G320" s="1459"/>
      <c r="H320" s="1459"/>
      <c r="I320" s="1459"/>
      <c r="J320" s="1459"/>
      <c r="K320" s="407"/>
      <c r="L320" s="160"/>
      <c r="M320" s="160"/>
      <c r="N320" s="181"/>
      <c r="O320" s="181"/>
      <c r="P320" s="181"/>
      <c r="Q320" s="181"/>
      <c r="R320" s="181"/>
      <c r="S320" s="181"/>
      <c r="T320" s="181"/>
      <c r="U320" s="181"/>
    </row>
    <row r="321" spans="2:21">
      <c r="B321" s="399"/>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448</v>
      </c>
      <c r="C322" s="160"/>
      <c r="D322" s="1452" t="s">
        <v>799</v>
      </c>
      <c r="E322" s="1453"/>
      <c r="F322" s="1453"/>
      <c r="G322" s="1453"/>
      <c r="H322" s="1453"/>
      <c r="I322" s="1453"/>
      <c r="J322" s="1453"/>
      <c r="K322" s="1453"/>
      <c r="L322" s="160"/>
      <c r="M322" s="160"/>
      <c r="N322" s="181"/>
      <c r="O322" s="181"/>
      <c r="P322" s="181"/>
      <c r="Q322" s="181"/>
      <c r="R322" s="181"/>
      <c r="S322" s="181"/>
      <c r="T322" s="181"/>
      <c r="U322" s="181"/>
    </row>
    <row r="323" spans="2:21">
      <c r="B323" s="399"/>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449</v>
      </c>
      <c r="C324" s="194"/>
      <c r="D324" s="205" t="s">
        <v>150</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269</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270</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271</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450</v>
      </c>
      <c r="C329" s="194"/>
      <c r="D329" s="1457" t="s">
        <v>800</v>
      </c>
      <c r="E329" s="1457"/>
      <c r="F329" s="1457"/>
      <c r="G329" s="1457"/>
      <c r="H329" s="1457"/>
      <c r="I329" s="1457"/>
      <c r="J329" s="1457"/>
      <c r="K329" s="1457"/>
      <c r="L329" s="1457"/>
      <c r="M329" s="160"/>
      <c r="N329" s="181"/>
      <c r="O329" s="181"/>
      <c r="P329" s="181"/>
      <c r="Q329" s="181"/>
      <c r="R329" s="181"/>
      <c r="S329" s="181"/>
      <c r="T329" s="181"/>
      <c r="U329" s="181"/>
    </row>
    <row r="330" spans="2:21">
      <c r="B330" s="193"/>
      <c r="C330" s="194"/>
      <c r="D330" s="1457"/>
      <c r="E330" s="1457"/>
      <c r="F330" s="1457"/>
      <c r="G330" s="1457"/>
      <c r="H330" s="1457"/>
      <c r="I330" s="1457"/>
      <c r="J330" s="1457"/>
      <c r="K330" s="1457"/>
      <c r="L330" s="1457"/>
      <c r="M330" s="160"/>
      <c r="N330" s="181"/>
      <c r="O330" s="181"/>
      <c r="P330" s="181"/>
      <c r="Q330" s="181"/>
      <c r="R330" s="181"/>
      <c r="S330" s="181"/>
      <c r="T330" s="181"/>
      <c r="U330" s="181"/>
    </row>
    <row r="331" spans="2:21">
      <c r="B331" s="193"/>
      <c r="C331" s="194"/>
      <c r="D331" s="1457"/>
      <c r="E331" s="1457"/>
      <c r="F331" s="1457"/>
      <c r="G331" s="1457"/>
      <c r="H331" s="1457"/>
      <c r="I331" s="1457"/>
      <c r="J331" s="1457"/>
      <c r="K331" s="1457"/>
      <c r="L331" s="1457"/>
      <c r="M331" s="160"/>
      <c r="N331" s="181"/>
      <c r="O331" s="181"/>
      <c r="P331" s="181"/>
      <c r="Q331" s="181"/>
      <c r="R331" s="181"/>
      <c r="S331" s="181"/>
      <c r="T331" s="181"/>
      <c r="U331" s="181"/>
    </row>
    <row r="332" spans="2:21">
      <c r="B332" s="193"/>
      <c r="C332" s="194"/>
      <c r="D332" s="411"/>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586</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99</v>
      </c>
      <c r="C335" s="194"/>
      <c r="D335" s="205" t="s">
        <v>138</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2"/>
      <c r="C340" s="181"/>
      <c r="D340" s="205" t="s">
        <v>139</v>
      </c>
      <c r="E340" s="181" t="s">
        <v>140</v>
      </c>
      <c r="F340" s="148">
        <v>0.21</v>
      </c>
      <c r="G340" s="181"/>
      <c r="H340" s="160"/>
      <c r="I340" s="160"/>
      <c r="J340" s="160"/>
      <c r="K340" s="160"/>
      <c r="L340" s="160"/>
      <c r="M340" s="160"/>
      <c r="N340" s="181"/>
      <c r="O340" s="181"/>
      <c r="P340" s="181"/>
      <c r="Q340" s="181"/>
      <c r="R340" s="181"/>
      <c r="S340" s="181"/>
      <c r="T340" s="181"/>
      <c r="U340" s="181"/>
    </row>
    <row r="341" spans="2:21">
      <c r="B341" s="412"/>
      <c r="C341" s="181"/>
      <c r="D341" s="205"/>
      <c r="E341" s="181" t="s">
        <v>141</v>
      </c>
      <c r="F341" s="401">
        <f>+'WS G  State Tax Rate'!F29</f>
        <v>6.4600000000000005E-2</v>
      </c>
      <c r="G341" s="181" t="s">
        <v>293</v>
      </c>
      <c r="H341" s="160"/>
      <c r="I341" s="160"/>
      <c r="J341" s="160"/>
      <c r="K341" s="160"/>
      <c r="L341" s="160"/>
      <c r="M341" s="160"/>
      <c r="N341" s="181"/>
      <c r="O341" s="181"/>
      <c r="P341" s="181"/>
      <c r="Q341" s="181"/>
      <c r="R341" s="181"/>
      <c r="S341" s="181"/>
      <c r="T341" s="181"/>
      <c r="U341" s="181"/>
    </row>
    <row r="342" spans="2:21">
      <c r="B342" s="412"/>
      <c r="C342" s="181"/>
      <c r="D342" s="205"/>
      <c r="E342" s="181" t="s">
        <v>142</v>
      </c>
      <c r="F342" s="148">
        <v>0</v>
      </c>
      <c r="G342" s="181" t="s">
        <v>143</v>
      </c>
      <c r="H342" s="160"/>
      <c r="I342" s="160"/>
      <c r="J342" s="160"/>
      <c r="K342" s="160"/>
      <c r="L342" s="160"/>
      <c r="M342" s="160"/>
      <c r="N342" s="181"/>
      <c r="O342" s="181"/>
      <c r="P342" s="181"/>
      <c r="Q342" s="181"/>
      <c r="R342" s="181"/>
      <c r="S342" s="181"/>
      <c r="T342" s="181"/>
      <c r="U342" s="181"/>
    </row>
    <row r="343" spans="2:21" ht="46.5" customHeight="1">
      <c r="B343" s="271"/>
      <c r="C343" s="194"/>
      <c r="D343" s="1461" t="s">
        <v>596</v>
      </c>
      <c r="E343" s="1461"/>
      <c r="F343" s="1461"/>
      <c r="G343" s="1461"/>
      <c r="H343" s="1461"/>
      <c r="I343" s="1461"/>
      <c r="J343" s="1461"/>
      <c r="K343" s="160"/>
      <c r="L343" s="160"/>
      <c r="M343" s="181"/>
      <c r="N343" s="181"/>
      <c r="O343" s="181"/>
      <c r="P343" s="181"/>
      <c r="Q343" s="181"/>
      <c r="R343" s="181"/>
      <c r="S343" s="181"/>
      <c r="T343" s="181"/>
      <c r="U343" s="181"/>
    </row>
    <row r="344" spans="2:21">
      <c r="B344" s="193" t="s">
        <v>144</v>
      </c>
      <c r="C344" s="194"/>
      <c r="D344" s="205" t="s">
        <v>539</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145</v>
      </c>
      <c r="C346" s="194"/>
      <c r="D346" s="205" t="s">
        <v>351</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146</v>
      </c>
      <c r="C348" s="194"/>
      <c r="D348" s="205" t="s">
        <v>616</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3" t="s">
        <v>147</v>
      </c>
      <c r="C350" s="414"/>
      <c r="D350" s="1462"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62"/>
      <c r="F350" s="1462"/>
      <c r="G350" s="1462"/>
      <c r="H350" s="1462"/>
      <c r="I350" s="1462"/>
      <c r="J350" s="1462"/>
      <c r="M350" s="173"/>
      <c r="N350" s="173"/>
      <c r="O350" s="181"/>
      <c r="P350" s="181"/>
      <c r="Q350" s="181"/>
      <c r="R350" s="181"/>
      <c r="S350" s="181"/>
      <c r="T350" s="181"/>
      <c r="U350" s="181"/>
    </row>
    <row r="351" spans="2:21" ht="15.75">
      <c r="B351" s="414"/>
      <c r="C351" s="414"/>
      <c r="D351" s="1462" t="s">
        <v>801</v>
      </c>
      <c r="E351" s="1462"/>
      <c r="F351" s="1462"/>
      <c r="G351" s="1462"/>
      <c r="H351" s="1462"/>
      <c r="I351" s="1462"/>
      <c r="J351" s="1462"/>
      <c r="M351" s="173"/>
      <c r="N351" s="173"/>
      <c r="O351" s="181"/>
      <c r="P351" s="181"/>
      <c r="Q351" s="181"/>
      <c r="R351" s="181"/>
      <c r="S351" s="181"/>
      <c r="T351" s="181"/>
      <c r="U351" s="181"/>
    </row>
    <row r="352" spans="2:21" ht="15.75">
      <c r="B352" s="414"/>
      <c r="C352" s="414"/>
      <c r="D352" s="1462"/>
      <c r="E352" s="1462"/>
      <c r="F352" s="1462"/>
      <c r="G352" s="1462"/>
      <c r="H352" s="1462"/>
      <c r="I352" s="1462"/>
      <c r="J352" s="1462"/>
      <c r="M352" s="173"/>
      <c r="N352" s="173"/>
      <c r="O352" s="181"/>
      <c r="P352" s="181"/>
      <c r="Q352" s="181"/>
      <c r="R352" s="181"/>
      <c r="S352" s="181"/>
      <c r="T352" s="181"/>
      <c r="U352" s="181"/>
    </row>
    <row r="353" spans="2:21" ht="95.25" customHeight="1">
      <c r="B353" s="414"/>
      <c r="C353" s="414"/>
      <c r="D353" s="1462"/>
      <c r="E353" s="1462"/>
      <c r="F353" s="1462"/>
      <c r="G353" s="1462"/>
      <c r="H353" s="1462"/>
      <c r="I353" s="1462"/>
      <c r="J353" s="1462"/>
      <c r="M353" s="173"/>
      <c r="N353" s="173"/>
      <c r="O353" s="181"/>
      <c r="P353" s="181"/>
      <c r="Q353" s="181"/>
      <c r="R353" s="181"/>
      <c r="S353" s="181"/>
      <c r="T353" s="181"/>
      <c r="U353" s="181"/>
    </row>
    <row r="354" spans="2:21" ht="0.75" hidden="1" customHeight="1">
      <c r="B354" s="414"/>
      <c r="C354" s="414"/>
      <c r="D354" s="1273"/>
      <c r="E354" s="1273"/>
      <c r="F354" s="1273"/>
      <c r="G354" s="1273"/>
      <c r="H354" s="1273"/>
      <c r="I354" s="1273"/>
      <c r="J354" s="1273"/>
      <c r="M354" s="173"/>
      <c r="N354" s="173"/>
      <c r="O354" s="181"/>
      <c r="P354" s="181"/>
      <c r="Q354" s="181"/>
      <c r="R354" s="181"/>
      <c r="S354" s="181"/>
      <c r="T354" s="181"/>
      <c r="U354" s="181"/>
    </row>
    <row r="355" spans="2:21" ht="54.75" hidden="1" customHeight="1">
      <c r="B355" s="414"/>
      <c r="C355" s="414"/>
      <c r="D355" s="1273"/>
      <c r="E355" s="1273"/>
      <c r="F355" s="1273"/>
      <c r="G355" s="1273"/>
      <c r="H355" s="1273"/>
      <c r="I355" s="1273"/>
      <c r="J355" s="1273"/>
      <c r="M355" s="173"/>
      <c r="N355" s="173"/>
      <c r="O355" s="181"/>
      <c r="P355" s="181"/>
      <c r="Q355" s="181"/>
      <c r="R355" s="181"/>
      <c r="S355" s="181"/>
      <c r="T355" s="181"/>
      <c r="U355" s="181"/>
    </row>
    <row r="356" spans="2:21" ht="16.5" customHeight="1">
      <c r="B356" s="414"/>
      <c r="C356" s="414"/>
      <c r="D356" s="1273"/>
      <c r="E356" s="1273"/>
      <c r="F356" s="1273"/>
      <c r="G356" s="1273"/>
      <c r="H356" s="1273"/>
      <c r="I356" s="1273"/>
      <c r="J356" s="1273"/>
      <c r="M356" s="173"/>
      <c r="N356" s="173"/>
      <c r="O356" s="181"/>
      <c r="P356" s="181"/>
      <c r="Q356" s="181"/>
      <c r="R356" s="181"/>
      <c r="S356" s="181"/>
      <c r="T356" s="181"/>
      <c r="U356" s="181"/>
    </row>
    <row r="357" spans="2:21" ht="98.25" customHeight="1">
      <c r="B357" s="193" t="s">
        <v>193</v>
      </c>
      <c r="C357" s="414"/>
      <c r="D357" s="1449" t="s">
        <v>764</v>
      </c>
      <c r="E357" s="1450"/>
      <c r="F357" s="1450"/>
      <c r="G357" s="1450"/>
      <c r="H357" s="1450"/>
      <c r="I357" s="1450"/>
      <c r="J357" s="1450"/>
      <c r="M357" s="181"/>
      <c r="N357" s="181"/>
      <c r="O357" s="181"/>
      <c r="P357" s="181"/>
      <c r="Q357" s="181"/>
      <c r="R357" s="181"/>
      <c r="S357" s="181"/>
      <c r="T357" s="181"/>
      <c r="U357" s="181"/>
    </row>
    <row r="358" spans="2:21" ht="15.75">
      <c r="B358" s="193"/>
      <c r="C358" s="414"/>
      <c r="D358" s="415"/>
      <c r="E358" s="416"/>
      <c r="F358" s="416"/>
      <c r="G358" s="416"/>
      <c r="H358" s="416"/>
      <c r="I358" s="416"/>
      <c r="J358" s="416"/>
      <c r="M358" s="181"/>
      <c r="N358" s="181"/>
      <c r="O358" s="181"/>
      <c r="P358" s="181"/>
      <c r="Q358" s="181"/>
      <c r="R358" s="181"/>
      <c r="S358" s="181"/>
      <c r="T358" s="181"/>
      <c r="U358" s="181"/>
    </row>
    <row r="359" spans="2:21">
      <c r="B359" s="193" t="s">
        <v>551</v>
      </c>
      <c r="C359" s="417"/>
      <c r="D359" s="1448" t="s">
        <v>597</v>
      </c>
      <c r="E359" s="1448"/>
      <c r="F359" s="1448"/>
      <c r="G359" s="1448"/>
      <c r="H359" s="1448"/>
      <c r="I359" s="1448"/>
      <c r="J359" s="1448"/>
      <c r="K359" s="418"/>
      <c r="M359" s="181"/>
      <c r="N359" s="181"/>
      <c r="O359" s="181"/>
      <c r="P359" s="181"/>
      <c r="Q359" s="181"/>
      <c r="R359" s="181"/>
      <c r="S359" s="181"/>
      <c r="T359" s="181"/>
      <c r="U359" s="181"/>
    </row>
    <row r="360" spans="2:21">
      <c r="B360" s="193"/>
      <c r="C360" s="194"/>
      <c r="D360" s="155" t="s">
        <v>406</v>
      </c>
      <c r="M360" s="181"/>
      <c r="N360" s="181"/>
      <c r="O360" s="181"/>
      <c r="P360" s="181"/>
      <c r="Q360" s="181"/>
      <c r="R360" s="181"/>
      <c r="S360" s="181"/>
      <c r="T360" s="181"/>
      <c r="U360" s="181"/>
    </row>
    <row r="361" spans="2:21">
      <c r="B361" s="193" t="s">
        <v>598</v>
      </c>
      <c r="C361" s="194"/>
      <c r="D361" s="155" t="s">
        <v>599</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600</v>
      </c>
      <c r="C363" s="194"/>
      <c r="D363" s="1448" t="s">
        <v>601</v>
      </c>
      <c r="E363" s="1448"/>
      <c r="F363" s="1448"/>
      <c r="G363" s="1448"/>
      <c r="H363" s="1448"/>
      <c r="I363" s="1448"/>
      <c r="J363" s="1448"/>
      <c r="K363" s="1448"/>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602</v>
      </c>
      <c r="C365" s="173"/>
      <c r="D365" s="1448" t="s">
        <v>606</v>
      </c>
      <c r="E365" s="1448"/>
      <c r="F365" s="1448"/>
      <c r="G365" s="1448"/>
      <c r="H365" s="1448"/>
      <c r="I365" s="1448"/>
      <c r="J365" s="1448"/>
      <c r="K365" s="1448"/>
      <c r="M365" s="181"/>
      <c r="N365" s="181"/>
      <c r="O365" s="181"/>
      <c r="P365" s="181"/>
      <c r="Q365" s="181"/>
      <c r="R365" s="181"/>
      <c r="S365" s="181"/>
      <c r="T365" s="181"/>
      <c r="U365" s="181"/>
    </row>
    <row r="366" spans="2:21">
      <c r="B366" s="1241" t="s">
        <v>640</v>
      </c>
      <c r="C366" s="1242"/>
      <c r="D366" s="1243" t="s">
        <v>641</v>
      </c>
      <c r="E366" s="1244"/>
      <c r="F366" s="1244"/>
      <c r="G366" s="1244"/>
      <c r="H366" s="1023"/>
      <c r="M366" s="181"/>
      <c r="N366" s="181"/>
      <c r="O366" s="181"/>
      <c r="P366" s="181"/>
      <c r="Q366" s="181"/>
      <c r="R366" s="181"/>
      <c r="S366" s="181"/>
      <c r="T366" s="181"/>
      <c r="U366" s="181"/>
    </row>
    <row r="367" spans="2:21">
      <c r="B367" s="1319" t="s">
        <v>827</v>
      </c>
      <c r="C367" s="393"/>
      <c r="D367" s="1447" t="s">
        <v>828</v>
      </c>
      <c r="E367" s="1447"/>
      <c r="F367" s="1447"/>
      <c r="G367" s="1447"/>
      <c r="H367" s="1447"/>
      <c r="I367" s="1447"/>
      <c r="J367" s="1447"/>
      <c r="K367" s="1447"/>
      <c r="M367" s="181"/>
      <c r="N367" s="181"/>
      <c r="O367" s="181"/>
      <c r="P367" s="181"/>
      <c r="Q367" s="181"/>
      <c r="R367" s="181"/>
      <c r="S367" s="181"/>
      <c r="T367" s="181"/>
      <c r="U367" s="181"/>
    </row>
    <row r="368" spans="2:21">
      <c r="B368" s="393"/>
      <c r="C368" s="393"/>
      <c r="D368" s="1447"/>
      <c r="E368" s="1447"/>
      <c r="F368" s="1447"/>
      <c r="G368" s="1447"/>
      <c r="H368" s="1447"/>
      <c r="I368" s="1447"/>
      <c r="J368" s="1447"/>
      <c r="K368" s="1447"/>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400"/>
      <c r="C373" s="160"/>
      <c r="D373" s="160"/>
      <c r="E373" s="160"/>
      <c r="F373" s="160"/>
      <c r="G373" s="160"/>
      <c r="H373" s="160"/>
      <c r="I373" s="160"/>
      <c r="J373" s="160"/>
      <c r="K373" s="160"/>
      <c r="L373" s="160"/>
      <c r="M373" s="160"/>
    </row>
    <row r="374" spans="2:21">
      <c r="B374" s="400"/>
      <c r="C374" s="160"/>
      <c r="D374" s="160"/>
      <c r="E374" s="160"/>
      <c r="F374" s="160"/>
      <c r="G374" s="160"/>
      <c r="H374" s="160"/>
      <c r="I374" s="160"/>
      <c r="J374" s="160"/>
      <c r="K374" s="160"/>
      <c r="L374" s="160"/>
      <c r="M374" s="160"/>
    </row>
    <row r="375" spans="2:21">
      <c r="B375" s="400"/>
      <c r="C375" s="160"/>
      <c r="D375" s="160"/>
      <c r="E375" s="160"/>
      <c r="F375" s="160"/>
      <c r="G375" s="160"/>
      <c r="H375" s="160"/>
      <c r="I375" s="160"/>
      <c r="J375" s="160"/>
      <c r="K375" s="160"/>
      <c r="L375" s="160"/>
      <c r="M375" s="160"/>
    </row>
    <row r="376" spans="2:21">
      <c r="B376" s="400"/>
      <c r="C376" s="160"/>
      <c r="D376" s="160"/>
      <c r="E376" s="160"/>
      <c r="F376" s="160"/>
      <c r="G376" s="160"/>
      <c r="H376" s="160"/>
      <c r="I376" s="160"/>
      <c r="J376" s="160"/>
      <c r="K376" s="160"/>
      <c r="L376" s="160"/>
      <c r="M376" s="160"/>
    </row>
    <row r="377" spans="2:21">
      <c r="B377" s="400"/>
      <c r="C377" s="160"/>
      <c r="D377" s="160"/>
      <c r="E377" s="160"/>
      <c r="F377" s="160"/>
      <c r="G377" s="160"/>
      <c r="H377" s="160"/>
      <c r="I377" s="160"/>
      <c r="J377" s="160"/>
      <c r="K377" s="160"/>
      <c r="L377" s="160"/>
      <c r="M377" s="160"/>
    </row>
    <row r="378" spans="2:21">
      <c r="B378" s="400"/>
      <c r="C378" s="160"/>
      <c r="D378" s="160"/>
      <c r="E378" s="160"/>
      <c r="F378" s="160"/>
      <c r="G378" s="160"/>
      <c r="H378" s="160"/>
      <c r="I378" s="160"/>
      <c r="J378" s="160"/>
      <c r="K378" s="160"/>
      <c r="L378" s="160"/>
      <c r="M378" s="160"/>
    </row>
    <row r="379" spans="2:21">
      <c r="B379" s="400"/>
      <c r="C379" s="160"/>
      <c r="D379" s="160"/>
      <c r="E379" s="160"/>
      <c r="F379" s="160"/>
      <c r="G379" s="160"/>
      <c r="H379" s="160"/>
      <c r="I379" s="160"/>
      <c r="J379" s="160"/>
      <c r="K379" s="160"/>
      <c r="L379" s="160"/>
      <c r="M379" s="160"/>
    </row>
    <row r="380" spans="2:21">
      <c r="B380" s="400"/>
      <c r="C380" s="160"/>
      <c r="D380" s="160"/>
      <c r="E380" s="160"/>
      <c r="F380" s="160"/>
      <c r="G380" s="160"/>
      <c r="H380" s="160"/>
      <c r="I380" s="160"/>
      <c r="J380" s="160"/>
      <c r="K380" s="160"/>
      <c r="L380" s="160"/>
      <c r="M380" s="160"/>
    </row>
    <row r="381" spans="2:21">
      <c r="B381" s="400"/>
      <c r="C381" s="160"/>
      <c r="D381" s="160"/>
      <c r="E381" s="160"/>
      <c r="F381" s="160"/>
      <c r="G381" s="160"/>
      <c r="H381" s="160"/>
      <c r="I381" s="160"/>
      <c r="J381" s="160"/>
      <c r="K381" s="160"/>
      <c r="L381" s="160"/>
      <c r="M381" s="160"/>
    </row>
    <row r="382" spans="2:21">
      <c r="B382" s="400"/>
      <c r="C382" s="160"/>
      <c r="D382" s="160"/>
      <c r="E382" s="160"/>
      <c r="F382" s="160"/>
      <c r="G382" s="160"/>
      <c r="H382" s="160"/>
      <c r="I382" s="160"/>
      <c r="J382" s="160"/>
      <c r="K382" s="160"/>
      <c r="L382" s="160"/>
      <c r="M382" s="160"/>
    </row>
    <row r="383" spans="2:21">
      <c r="B383" s="400"/>
      <c r="C383" s="160"/>
      <c r="D383" s="160"/>
      <c r="E383" s="160"/>
      <c r="F383" s="160"/>
      <c r="G383" s="160"/>
      <c r="H383" s="160"/>
      <c r="I383" s="160"/>
      <c r="J383" s="160"/>
      <c r="K383" s="160"/>
      <c r="L383" s="160"/>
      <c r="M383" s="160"/>
    </row>
    <row r="384" spans="2:21">
      <c r="B384" s="400"/>
      <c r="C384" s="160"/>
      <c r="D384" s="160"/>
      <c r="E384" s="160"/>
      <c r="F384" s="160"/>
      <c r="G384" s="160"/>
      <c r="H384" s="160"/>
      <c r="I384" s="160"/>
      <c r="J384" s="160"/>
      <c r="K384" s="160"/>
      <c r="L384" s="160"/>
      <c r="M384" s="160"/>
    </row>
    <row r="385" spans="2:13">
      <c r="B385" s="400"/>
      <c r="C385" s="160"/>
      <c r="D385" s="160"/>
      <c r="E385" s="160"/>
      <c r="F385" s="160"/>
      <c r="G385" s="160"/>
      <c r="H385" s="160"/>
      <c r="I385" s="160"/>
      <c r="J385" s="160"/>
      <c r="K385" s="160"/>
      <c r="L385" s="160"/>
      <c r="M385" s="160"/>
    </row>
    <row r="386" spans="2:13">
      <c r="B386" s="400"/>
      <c r="C386" s="160"/>
      <c r="D386" s="160"/>
      <c r="E386" s="160"/>
      <c r="F386" s="160"/>
      <c r="G386" s="160"/>
      <c r="H386" s="160"/>
      <c r="I386" s="160"/>
      <c r="J386" s="160"/>
      <c r="K386" s="160"/>
      <c r="L386" s="160"/>
      <c r="M386" s="160"/>
    </row>
    <row r="387" spans="2:13">
      <c r="B387" s="400"/>
      <c r="C387" s="160"/>
      <c r="D387" s="160"/>
      <c r="E387" s="160"/>
      <c r="F387" s="160"/>
      <c r="G387" s="160"/>
      <c r="H387" s="160"/>
      <c r="I387" s="160"/>
      <c r="J387" s="160"/>
      <c r="K387" s="160"/>
      <c r="L387" s="160"/>
      <c r="M387" s="160"/>
    </row>
    <row r="388" spans="2:13">
      <c r="B388" s="400"/>
      <c r="C388" s="160"/>
      <c r="D388" s="160"/>
      <c r="E388" s="160"/>
      <c r="F388" s="160"/>
      <c r="G388" s="160"/>
      <c r="H388" s="160"/>
      <c r="I388" s="160"/>
      <c r="J388" s="160"/>
      <c r="K388" s="160"/>
      <c r="L388" s="160"/>
      <c r="M388" s="160"/>
    </row>
    <row r="389" spans="2:13">
      <c r="B389" s="400"/>
      <c r="C389" s="160"/>
      <c r="D389" s="160"/>
      <c r="E389" s="160"/>
      <c r="F389" s="160"/>
      <c r="G389" s="160"/>
      <c r="H389" s="160"/>
      <c r="I389" s="160"/>
      <c r="J389" s="160"/>
      <c r="K389" s="160"/>
      <c r="L389" s="160"/>
      <c r="M389" s="160"/>
    </row>
    <row r="390" spans="2:13">
      <c r="B390" s="400"/>
      <c r="C390" s="160"/>
      <c r="D390" s="160"/>
      <c r="E390" s="160"/>
      <c r="F390" s="160"/>
      <c r="G390" s="160"/>
      <c r="H390" s="160"/>
      <c r="I390" s="160"/>
      <c r="J390" s="160"/>
      <c r="K390" s="160"/>
      <c r="L390" s="160"/>
      <c r="M390" s="160"/>
    </row>
    <row r="391" spans="2:13">
      <c r="B391" s="400"/>
      <c r="C391" s="160"/>
      <c r="D391" s="160"/>
      <c r="E391" s="160"/>
      <c r="F391" s="160"/>
      <c r="G391" s="160"/>
      <c r="H391" s="160"/>
      <c r="I391" s="160"/>
      <c r="J391" s="160"/>
      <c r="K391" s="160"/>
      <c r="L391" s="160"/>
      <c r="M391" s="160"/>
    </row>
    <row r="392" spans="2:13">
      <c r="B392" s="400"/>
      <c r="C392" s="160"/>
      <c r="D392" s="160"/>
      <c r="E392" s="160"/>
      <c r="F392" s="160"/>
      <c r="G392" s="160"/>
      <c r="H392" s="160"/>
      <c r="I392" s="160"/>
      <c r="J392" s="160"/>
      <c r="K392" s="160"/>
      <c r="L392" s="160"/>
      <c r="M392" s="160"/>
    </row>
    <row r="393" spans="2:13">
      <c r="B393" s="400"/>
      <c r="C393" s="160"/>
      <c r="D393" s="160"/>
      <c r="E393" s="160"/>
      <c r="F393" s="160"/>
      <c r="G393" s="160"/>
      <c r="H393" s="160"/>
      <c r="I393" s="160"/>
      <c r="J393" s="160"/>
      <c r="K393" s="160"/>
      <c r="L393" s="160"/>
      <c r="M393" s="160"/>
    </row>
    <row r="394" spans="2:13">
      <c r="B394" s="400"/>
      <c r="C394" s="160"/>
      <c r="D394" s="160"/>
      <c r="E394" s="160"/>
      <c r="F394" s="160"/>
      <c r="G394" s="160"/>
      <c r="H394" s="160"/>
      <c r="I394" s="160"/>
      <c r="J394" s="160"/>
      <c r="K394" s="160"/>
      <c r="L394" s="160"/>
      <c r="M394" s="160"/>
    </row>
    <row r="395" spans="2:13">
      <c r="B395" s="400"/>
      <c r="C395" s="160"/>
      <c r="D395" s="160"/>
      <c r="E395" s="160"/>
      <c r="F395" s="160"/>
      <c r="G395" s="160"/>
      <c r="H395" s="160"/>
      <c r="I395" s="160"/>
      <c r="J395" s="160"/>
      <c r="K395" s="160"/>
      <c r="L395" s="160"/>
      <c r="M395" s="160"/>
    </row>
    <row r="396" spans="2:13">
      <c r="B396" s="400"/>
      <c r="C396" s="160"/>
      <c r="D396" s="160"/>
      <c r="E396" s="160"/>
      <c r="F396" s="160"/>
      <c r="G396" s="160"/>
      <c r="H396" s="160"/>
      <c r="I396" s="160"/>
      <c r="J396" s="160"/>
      <c r="K396" s="160"/>
      <c r="L396" s="160"/>
      <c r="M396" s="160"/>
    </row>
    <row r="397" spans="2:13">
      <c r="B397" s="400"/>
      <c r="C397" s="160"/>
      <c r="D397" s="160"/>
      <c r="E397" s="160"/>
      <c r="F397" s="160"/>
      <c r="G397" s="160"/>
      <c r="H397" s="160"/>
      <c r="I397" s="160"/>
      <c r="J397" s="160"/>
      <c r="K397" s="160"/>
      <c r="L397" s="160"/>
      <c r="M397" s="160"/>
    </row>
    <row r="398" spans="2:13">
      <c r="B398" s="400"/>
      <c r="C398" s="160"/>
      <c r="D398" s="160"/>
      <c r="E398" s="160"/>
      <c r="F398" s="160"/>
      <c r="G398" s="160"/>
      <c r="H398" s="160"/>
      <c r="I398" s="160"/>
      <c r="J398" s="160"/>
      <c r="K398" s="160"/>
      <c r="L398" s="160"/>
      <c r="M398" s="160"/>
    </row>
    <row r="399" spans="2:13">
      <c r="B399" s="400"/>
      <c r="C399" s="160"/>
      <c r="D399" s="160"/>
      <c r="E399" s="160"/>
      <c r="F399" s="160"/>
      <c r="G399" s="160"/>
      <c r="H399" s="160"/>
      <c r="I399" s="160"/>
      <c r="J399" s="160"/>
      <c r="K399" s="160"/>
      <c r="L399" s="160"/>
      <c r="M399" s="160"/>
    </row>
    <row r="400" spans="2:13">
      <c r="B400" s="400"/>
      <c r="C400" s="160"/>
      <c r="D400" s="160"/>
      <c r="E400" s="160"/>
      <c r="F400" s="160"/>
      <c r="G400" s="160"/>
      <c r="H400" s="160"/>
      <c r="I400" s="160"/>
      <c r="J400" s="160"/>
      <c r="K400" s="160"/>
      <c r="L400" s="160"/>
      <c r="M400" s="160"/>
    </row>
    <row r="401" spans="2:13">
      <c r="B401" s="400"/>
      <c r="C401" s="160"/>
      <c r="D401" s="160"/>
      <c r="E401" s="160"/>
      <c r="F401" s="160"/>
      <c r="G401" s="160"/>
      <c r="H401" s="160"/>
      <c r="I401" s="160"/>
      <c r="J401" s="160"/>
      <c r="K401" s="160"/>
      <c r="L401" s="160"/>
      <c r="M401" s="160"/>
    </row>
    <row r="402" spans="2:13">
      <c r="B402" s="400"/>
      <c r="C402" s="160"/>
      <c r="D402" s="160"/>
      <c r="E402" s="160"/>
      <c r="F402" s="160"/>
      <c r="G402" s="160"/>
      <c r="H402" s="160"/>
      <c r="I402" s="160"/>
      <c r="J402" s="160"/>
      <c r="K402" s="160"/>
      <c r="L402" s="160"/>
      <c r="M402" s="160"/>
    </row>
    <row r="403" spans="2:13">
      <c r="B403" s="400"/>
      <c r="C403" s="160"/>
      <c r="D403" s="160"/>
      <c r="E403" s="160"/>
      <c r="F403" s="160"/>
      <c r="G403" s="160"/>
      <c r="H403" s="160"/>
      <c r="I403" s="160"/>
      <c r="J403" s="160"/>
      <c r="K403" s="160"/>
      <c r="L403" s="160"/>
      <c r="M403" s="160"/>
    </row>
    <row r="404" spans="2:13">
      <c r="B404" s="400"/>
      <c r="C404" s="160"/>
      <c r="D404" s="160"/>
      <c r="E404" s="160"/>
      <c r="F404" s="160"/>
      <c r="G404" s="160"/>
      <c r="H404" s="160"/>
      <c r="I404" s="160"/>
      <c r="J404" s="160"/>
      <c r="K404" s="160"/>
      <c r="L404" s="160"/>
      <c r="M404" s="160"/>
    </row>
    <row r="405" spans="2:13">
      <c r="B405" s="400"/>
      <c r="C405" s="160"/>
      <c r="D405" s="160"/>
      <c r="E405" s="160"/>
      <c r="F405" s="160"/>
      <c r="G405" s="160"/>
      <c r="H405" s="160"/>
      <c r="I405" s="160"/>
      <c r="J405" s="160"/>
      <c r="K405" s="160"/>
      <c r="L405" s="160"/>
      <c r="M405" s="160"/>
    </row>
    <row r="406" spans="2:13">
      <c r="B406" s="400"/>
      <c r="C406" s="160"/>
      <c r="D406" s="160"/>
      <c r="E406" s="160"/>
      <c r="F406" s="160"/>
      <c r="G406" s="160"/>
      <c r="H406" s="160"/>
      <c r="I406" s="160"/>
      <c r="J406" s="160"/>
      <c r="K406" s="160"/>
      <c r="L406" s="160"/>
      <c r="M406" s="160"/>
    </row>
    <row r="407" spans="2:13">
      <c r="B407" s="400"/>
      <c r="C407" s="160"/>
      <c r="D407" s="160"/>
      <c r="E407" s="160"/>
      <c r="F407" s="160"/>
      <c r="G407" s="160"/>
      <c r="H407" s="160"/>
      <c r="I407" s="160"/>
      <c r="J407" s="160"/>
      <c r="K407" s="160"/>
      <c r="L407" s="160"/>
      <c r="M407" s="160"/>
    </row>
    <row r="408" spans="2:13">
      <c r="B408" s="400"/>
      <c r="C408" s="160"/>
      <c r="D408" s="160"/>
      <c r="E408" s="160"/>
      <c r="F408" s="160"/>
      <c r="G408" s="160"/>
      <c r="H408" s="160"/>
      <c r="I408" s="160"/>
      <c r="J408" s="160"/>
      <c r="K408" s="160"/>
      <c r="L408" s="160"/>
      <c r="M408" s="160"/>
    </row>
    <row r="409" spans="2:13">
      <c r="B409" s="400"/>
      <c r="C409" s="160"/>
      <c r="D409" s="160"/>
      <c r="E409" s="160"/>
      <c r="F409" s="160"/>
      <c r="G409" s="160"/>
      <c r="H409" s="160"/>
      <c r="I409" s="160"/>
      <c r="J409" s="160"/>
      <c r="K409" s="160"/>
      <c r="L409" s="160"/>
      <c r="M409" s="160"/>
    </row>
    <row r="410" spans="2:13">
      <c r="B410" s="400"/>
      <c r="C410" s="160"/>
      <c r="D410" s="160"/>
      <c r="E410" s="160"/>
      <c r="F410" s="160"/>
      <c r="G410" s="160"/>
      <c r="H410" s="160"/>
      <c r="I410" s="160"/>
      <c r="J410" s="160"/>
      <c r="K410" s="160"/>
      <c r="L410" s="160"/>
      <c r="M410" s="160"/>
    </row>
    <row r="411" spans="2:13">
      <c r="B411" s="400"/>
      <c r="C411" s="160"/>
      <c r="D411" s="160"/>
      <c r="E411" s="160"/>
      <c r="F411" s="160"/>
      <c r="G411" s="160"/>
      <c r="H411" s="160"/>
      <c r="I411" s="160"/>
      <c r="J411" s="160"/>
      <c r="K411" s="160"/>
      <c r="L411" s="160"/>
      <c r="M411" s="160"/>
    </row>
    <row r="412" spans="2:13">
      <c r="B412" s="400"/>
      <c r="C412" s="160"/>
      <c r="D412" s="160"/>
      <c r="E412" s="160"/>
      <c r="F412" s="160"/>
      <c r="G412" s="160"/>
      <c r="H412" s="160"/>
      <c r="I412" s="160"/>
      <c r="J412" s="160"/>
      <c r="K412" s="160"/>
      <c r="L412" s="160"/>
      <c r="M412" s="160"/>
    </row>
    <row r="413" spans="2:13">
      <c r="B413" s="400"/>
      <c r="C413" s="160"/>
      <c r="D413" s="160"/>
      <c r="E413" s="160"/>
      <c r="F413" s="160"/>
      <c r="G413" s="160"/>
      <c r="H413" s="160"/>
      <c r="I413" s="160"/>
      <c r="J413" s="160"/>
      <c r="K413" s="160"/>
      <c r="L413" s="160"/>
      <c r="M413" s="160"/>
    </row>
    <row r="414" spans="2:13">
      <c r="B414" s="400"/>
      <c r="C414" s="160"/>
      <c r="D414" s="160"/>
      <c r="E414" s="160"/>
      <c r="F414" s="160"/>
      <c r="G414" s="160"/>
      <c r="H414" s="160"/>
      <c r="I414" s="160"/>
      <c r="J414" s="160"/>
      <c r="K414" s="160"/>
      <c r="L414" s="160"/>
      <c r="M414" s="160"/>
    </row>
    <row r="415" spans="2:13">
      <c r="B415" s="400"/>
      <c r="C415" s="160"/>
      <c r="D415" s="160"/>
      <c r="E415" s="160"/>
      <c r="F415" s="160"/>
      <c r="G415" s="160"/>
      <c r="H415" s="160"/>
      <c r="I415" s="160"/>
      <c r="J415" s="160"/>
      <c r="K415" s="160"/>
      <c r="L415" s="160"/>
      <c r="M415" s="160"/>
    </row>
    <row r="416" spans="2:13">
      <c r="B416" s="400"/>
      <c r="C416" s="160"/>
      <c r="D416" s="160"/>
      <c r="E416" s="160"/>
      <c r="F416" s="160"/>
      <c r="G416" s="160"/>
      <c r="H416" s="160"/>
      <c r="I416" s="160"/>
      <c r="J416" s="160"/>
      <c r="K416" s="160"/>
      <c r="L416" s="160"/>
      <c r="M416" s="160"/>
    </row>
    <row r="417" spans="2:13">
      <c r="B417" s="400"/>
      <c r="C417" s="160"/>
      <c r="D417" s="160"/>
      <c r="E417" s="160"/>
      <c r="F417" s="160"/>
      <c r="G417" s="160"/>
      <c r="H417" s="160"/>
      <c r="I417" s="160"/>
      <c r="J417" s="160"/>
      <c r="K417" s="160"/>
      <c r="L417" s="160"/>
      <c r="M417" s="160"/>
    </row>
    <row r="418" spans="2:13">
      <c r="B418" s="400"/>
      <c r="C418" s="160"/>
      <c r="D418" s="160"/>
      <c r="E418" s="160"/>
      <c r="F418" s="160"/>
      <c r="G418" s="160"/>
      <c r="H418" s="160"/>
      <c r="I418" s="160"/>
      <c r="J418" s="160"/>
      <c r="K418" s="160"/>
      <c r="L418" s="160"/>
      <c r="M418" s="160"/>
    </row>
    <row r="419" spans="2:13">
      <c r="B419" s="400"/>
      <c r="C419" s="160"/>
      <c r="D419" s="160"/>
      <c r="E419" s="160"/>
      <c r="F419" s="160"/>
      <c r="G419" s="160"/>
      <c r="H419" s="160"/>
      <c r="I419" s="160"/>
      <c r="J419" s="160"/>
      <c r="K419" s="160"/>
      <c r="L419" s="160"/>
      <c r="M419" s="160"/>
    </row>
    <row r="420" spans="2:13">
      <c r="B420" s="400"/>
      <c r="C420" s="160"/>
      <c r="D420" s="160"/>
      <c r="E420" s="160"/>
      <c r="F420" s="160"/>
      <c r="G420" s="160"/>
      <c r="H420" s="160"/>
      <c r="I420" s="160"/>
      <c r="J420" s="160"/>
      <c r="K420" s="160"/>
      <c r="L420" s="160"/>
      <c r="M420" s="160"/>
    </row>
    <row r="421" spans="2:13">
      <c r="B421" s="400"/>
      <c r="C421" s="160"/>
      <c r="D421" s="160"/>
      <c r="E421" s="160"/>
      <c r="F421" s="160"/>
      <c r="G421" s="160"/>
      <c r="H421" s="160"/>
      <c r="I421" s="160"/>
      <c r="J421" s="160"/>
      <c r="K421" s="160"/>
      <c r="L421" s="160"/>
      <c r="M421" s="160"/>
    </row>
    <row r="422" spans="2:13">
      <c r="B422" s="400"/>
      <c r="C422" s="160"/>
      <c r="D422" s="160"/>
      <c r="E422" s="160"/>
      <c r="F422" s="160"/>
      <c r="G422" s="160"/>
      <c r="H422" s="160"/>
      <c r="I422" s="160"/>
      <c r="J422" s="160"/>
      <c r="K422" s="160"/>
      <c r="L422" s="160"/>
      <c r="M422" s="160"/>
    </row>
    <row r="423" spans="2:13">
      <c r="B423" s="400"/>
      <c r="C423" s="160"/>
      <c r="D423" s="160"/>
      <c r="E423" s="160"/>
      <c r="F423" s="160"/>
      <c r="G423" s="160"/>
      <c r="H423" s="160"/>
      <c r="I423" s="160"/>
      <c r="J423" s="160"/>
      <c r="K423" s="160"/>
      <c r="L423" s="160"/>
      <c r="M423" s="160"/>
    </row>
    <row r="424" spans="2:13">
      <c r="B424" s="400"/>
      <c r="C424" s="160"/>
      <c r="D424" s="160"/>
      <c r="E424" s="160"/>
      <c r="F424" s="160"/>
      <c r="G424" s="160"/>
      <c r="H424" s="160"/>
      <c r="I424" s="160"/>
      <c r="J424" s="160"/>
      <c r="K424" s="160"/>
      <c r="L424" s="160"/>
      <c r="M424" s="160"/>
    </row>
    <row r="425" spans="2:13">
      <c r="B425" s="400"/>
      <c r="C425" s="160"/>
      <c r="D425" s="160"/>
      <c r="E425" s="160"/>
      <c r="F425" s="160"/>
      <c r="G425" s="160"/>
      <c r="H425" s="160"/>
      <c r="I425" s="160"/>
      <c r="J425" s="160"/>
      <c r="K425" s="160"/>
      <c r="L425" s="160"/>
      <c r="M425" s="160"/>
    </row>
    <row r="426" spans="2:13">
      <c r="B426" s="400"/>
      <c r="C426" s="160"/>
      <c r="D426" s="160"/>
      <c r="E426" s="160"/>
      <c r="F426" s="160"/>
      <c r="G426" s="160"/>
      <c r="H426" s="160"/>
      <c r="I426" s="160"/>
      <c r="J426" s="160"/>
      <c r="K426" s="160"/>
      <c r="L426" s="160"/>
      <c r="M426" s="160"/>
    </row>
    <row r="427" spans="2:13">
      <c r="B427" s="400"/>
      <c r="C427" s="160"/>
      <c r="D427" s="160"/>
      <c r="E427" s="160"/>
      <c r="F427" s="160"/>
      <c r="G427" s="160"/>
      <c r="H427" s="160"/>
      <c r="I427" s="160"/>
      <c r="J427" s="160"/>
      <c r="K427" s="160"/>
      <c r="L427" s="160"/>
      <c r="M427" s="160"/>
    </row>
    <row r="428" spans="2:13">
      <c r="B428" s="400"/>
      <c r="C428" s="160"/>
      <c r="D428" s="160"/>
      <c r="E428" s="160"/>
      <c r="F428" s="160"/>
      <c r="G428" s="160"/>
      <c r="H428" s="160"/>
      <c r="I428" s="160"/>
      <c r="J428" s="160"/>
      <c r="K428" s="160"/>
      <c r="L428" s="160"/>
      <c r="M428" s="160"/>
    </row>
    <row r="429" spans="2:13">
      <c r="B429" s="400"/>
      <c r="C429" s="160"/>
      <c r="D429" s="160"/>
      <c r="E429" s="160"/>
      <c r="F429" s="160"/>
      <c r="G429" s="160"/>
      <c r="H429" s="160"/>
      <c r="I429" s="160"/>
      <c r="J429" s="160"/>
      <c r="K429" s="160"/>
      <c r="L429" s="160"/>
      <c r="M429" s="160"/>
    </row>
    <row r="430" spans="2:13">
      <c r="B430" s="400"/>
      <c r="C430" s="160"/>
      <c r="D430" s="160"/>
      <c r="E430" s="160"/>
      <c r="F430" s="160"/>
      <c r="G430" s="160"/>
      <c r="H430" s="160"/>
      <c r="I430" s="160"/>
      <c r="J430" s="160"/>
      <c r="K430" s="160"/>
      <c r="L430" s="160"/>
      <c r="M430" s="160"/>
    </row>
    <row r="431" spans="2:13">
      <c r="B431" s="400"/>
      <c r="C431" s="160"/>
      <c r="D431" s="160"/>
      <c r="E431" s="160"/>
      <c r="F431" s="160"/>
      <c r="G431" s="160"/>
      <c r="H431" s="160"/>
      <c r="I431" s="160"/>
      <c r="J431" s="160"/>
      <c r="K431" s="160"/>
      <c r="L431" s="160"/>
      <c r="M431" s="160"/>
    </row>
    <row r="432" spans="2:13">
      <c r="B432" s="400"/>
      <c r="C432" s="160"/>
      <c r="D432" s="160"/>
      <c r="E432" s="160"/>
      <c r="F432" s="160"/>
      <c r="G432" s="160"/>
      <c r="H432" s="160"/>
      <c r="I432" s="160"/>
      <c r="J432" s="160"/>
      <c r="K432" s="160"/>
      <c r="L432" s="160"/>
      <c r="M432" s="160"/>
    </row>
    <row r="433" spans="2:13">
      <c r="B433" s="400"/>
      <c r="C433" s="160"/>
      <c r="D433" s="160"/>
      <c r="E433" s="160"/>
      <c r="F433" s="160"/>
      <c r="G433" s="160"/>
      <c r="H433" s="160"/>
      <c r="I433" s="160"/>
      <c r="J433" s="160"/>
      <c r="K433" s="160"/>
      <c r="L433" s="160"/>
      <c r="M433" s="160"/>
    </row>
    <row r="434" spans="2:13">
      <c r="B434" s="400"/>
      <c r="C434" s="160"/>
      <c r="D434" s="160"/>
      <c r="E434" s="160"/>
      <c r="F434" s="160"/>
      <c r="G434" s="160"/>
      <c r="H434" s="160"/>
      <c r="I434" s="160"/>
      <c r="J434" s="160"/>
      <c r="K434" s="160"/>
      <c r="L434" s="160"/>
      <c r="M434" s="160"/>
    </row>
    <row r="435" spans="2:13">
      <c r="B435" s="400"/>
      <c r="C435" s="160"/>
      <c r="D435" s="160"/>
      <c r="E435" s="160"/>
      <c r="F435" s="160"/>
      <c r="G435" s="160"/>
      <c r="H435" s="160"/>
      <c r="I435" s="160"/>
      <c r="J435" s="160"/>
      <c r="K435" s="160"/>
      <c r="L435" s="160"/>
      <c r="M435" s="160"/>
    </row>
    <row r="436" spans="2:13">
      <c r="B436" s="400"/>
      <c r="C436" s="160"/>
      <c r="D436" s="160"/>
      <c r="E436" s="160"/>
      <c r="F436" s="160"/>
      <c r="G436" s="160"/>
      <c r="H436" s="160"/>
      <c r="I436" s="160"/>
      <c r="J436" s="160"/>
      <c r="K436" s="160"/>
      <c r="L436" s="160"/>
      <c r="M436" s="160"/>
    </row>
    <row r="437" spans="2:13">
      <c r="B437" s="400"/>
      <c r="C437" s="160"/>
      <c r="D437" s="160"/>
      <c r="E437" s="160"/>
      <c r="F437" s="160"/>
      <c r="G437" s="160"/>
      <c r="H437" s="160"/>
      <c r="I437" s="160"/>
      <c r="J437" s="160"/>
      <c r="K437" s="160"/>
      <c r="L437" s="160"/>
      <c r="M437" s="160"/>
    </row>
    <row r="438" spans="2:13">
      <c r="B438" s="400"/>
      <c r="C438" s="160"/>
      <c r="D438" s="160"/>
      <c r="E438" s="160"/>
      <c r="F438" s="160"/>
      <c r="G438" s="160"/>
      <c r="H438" s="160"/>
      <c r="I438" s="160"/>
      <c r="J438" s="160"/>
      <c r="K438" s="160"/>
      <c r="L438" s="160"/>
      <c r="M438" s="160"/>
    </row>
    <row r="439" spans="2:13">
      <c r="B439" s="400"/>
      <c r="C439" s="160"/>
      <c r="D439" s="160"/>
      <c r="E439" s="160"/>
      <c r="F439" s="160"/>
      <c r="G439" s="160"/>
      <c r="H439" s="160"/>
      <c r="I439" s="160"/>
      <c r="J439" s="160"/>
      <c r="K439" s="160"/>
      <c r="L439" s="160"/>
      <c r="M439" s="160"/>
    </row>
    <row r="440" spans="2:13">
      <c r="B440" s="400"/>
      <c r="C440" s="160"/>
      <c r="D440" s="160"/>
      <c r="E440" s="160"/>
      <c r="F440" s="160"/>
      <c r="G440" s="160"/>
      <c r="H440" s="160"/>
      <c r="I440" s="160"/>
      <c r="J440" s="160"/>
      <c r="K440" s="160"/>
      <c r="L440" s="160"/>
      <c r="M440" s="160"/>
    </row>
    <row r="441" spans="2:13">
      <c r="B441" s="400"/>
      <c r="C441" s="160"/>
      <c r="D441" s="160"/>
      <c r="E441" s="160"/>
      <c r="F441" s="160"/>
      <c r="G441" s="160"/>
      <c r="H441" s="160"/>
      <c r="I441" s="160"/>
      <c r="J441" s="160"/>
      <c r="K441" s="160"/>
      <c r="L441" s="160"/>
      <c r="M441" s="160"/>
    </row>
    <row r="442" spans="2:13">
      <c r="B442" s="400"/>
      <c r="C442" s="160"/>
      <c r="D442" s="160"/>
      <c r="E442" s="160"/>
      <c r="F442" s="160"/>
      <c r="G442" s="160"/>
      <c r="H442" s="160"/>
      <c r="I442" s="160"/>
      <c r="J442" s="160"/>
      <c r="K442" s="160"/>
      <c r="L442" s="160"/>
      <c r="M442" s="160"/>
    </row>
    <row r="443" spans="2:13">
      <c r="B443" s="400"/>
      <c r="C443" s="160"/>
      <c r="D443" s="160"/>
      <c r="E443" s="160"/>
      <c r="F443" s="160"/>
      <c r="G443" s="160"/>
      <c r="H443" s="160"/>
      <c r="I443" s="160"/>
      <c r="J443" s="160"/>
      <c r="K443" s="160"/>
      <c r="L443" s="160"/>
      <c r="M443" s="160"/>
    </row>
    <row r="444" spans="2:13">
      <c r="B444" s="400"/>
      <c r="C444" s="160"/>
      <c r="D444" s="160"/>
      <c r="E444" s="160"/>
      <c r="F444" s="160"/>
      <c r="G444" s="160"/>
      <c r="H444" s="160"/>
      <c r="I444" s="160"/>
      <c r="J444" s="160"/>
      <c r="K444" s="160"/>
      <c r="L444" s="160"/>
      <c r="M444" s="160"/>
    </row>
    <row r="445" spans="2:13">
      <c r="B445" s="400"/>
      <c r="C445" s="160"/>
      <c r="D445" s="160"/>
      <c r="E445" s="160"/>
      <c r="F445" s="160"/>
      <c r="G445" s="160"/>
      <c r="H445" s="160"/>
      <c r="I445" s="160"/>
      <c r="J445" s="160"/>
      <c r="K445" s="160"/>
      <c r="L445" s="160"/>
      <c r="M445" s="160"/>
    </row>
    <row r="446" spans="2:13">
      <c r="B446" s="400"/>
      <c r="C446" s="160"/>
      <c r="D446" s="160"/>
      <c r="E446" s="160"/>
      <c r="F446" s="160"/>
      <c r="G446" s="160"/>
      <c r="H446" s="160"/>
      <c r="I446" s="160"/>
      <c r="J446" s="160"/>
      <c r="K446" s="160"/>
      <c r="L446" s="160"/>
      <c r="M446" s="160"/>
    </row>
    <row r="447" spans="2:13">
      <c r="B447" s="400"/>
      <c r="C447" s="160"/>
      <c r="D447" s="160"/>
      <c r="E447" s="160"/>
      <c r="F447" s="160"/>
      <c r="G447" s="160"/>
      <c r="H447" s="160"/>
      <c r="I447" s="160"/>
      <c r="J447" s="160"/>
      <c r="K447" s="160"/>
      <c r="L447" s="160"/>
      <c r="M447" s="160"/>
    </row>
    <row r="448" spans="2:13">
      <c r="B448" s="400"/>
      <c r="C448" s="160"/>
      <c r="D448" s="160"/>
      <c r="E448" s="160"/>
      <c r="F448" s="160"/>
      <c r="G448" s="160"/>
      <c r="H448" s="160"/>
      <c r="I448" s="160"/>
      <c r="J448" s="160"/>
      <c r="K448" s="160"/>
      <c r="L448" s="160"/>
      <c r="M448" s="160"/>
    </row>
    <row r="449" spans="2:13">
      <c r="B449" s="400"/>
      <c r="C449" s="160"/>
      <c r="D449" s="160"/>
      <c r="E449" s="160"/>
      <c r="F449" s="160"/>
      <c r="G449" s="160"/>
      <c r="H449" s="160"/>
      <c r="I449" s="160"/>
      <c r="J449" s="160"/>
      <c r="K449" s="160"/>
      <c r="L449" s="160"/>
      <c r="M449" s="160"/>
    </row>
    <row r="450" spans="2:13">
      <c r="B450" s="400"/>
      <c r="C450" s="160"/>
      <c r="D450" s="160"/>
      <c r="E450" s="160"/>
      <c r="F450" s="160"/>
      <c r="G450" s="160"/>
      <c r="H450" s="160"/>
      <c r="I450" s="160"/>
      <c r="J450" s="160"/>
      <c r="K450" s="160"/>
      <c r="L450" s="160"/>
      <c r="M450" s="160"/>
    </row>
    <row r="451" spans="2:13">
      <c r="B451" s="400"/>
      <c r="C451" s="160"/>
      <c r="D451" s="160"/>
      <c r="E451" s="160"/>
      <c r="F451" s="160"/>
      <c r="G451" s="160"/>
      <c r="H451" s="160"/>
      <c r="I451" s="160"/>
      <c r="J451" s="160"/>
      <c r="K451" s="160"/>
      <c r="L451" s="160"/>
      <c r="M451" s="160"/>
    </row>
    <row r="452" spans="2:13">
      <c r="B452" s="400"/>
      <c r="C452" s="160"/>
      <c r="D452" s="160"/>
      <c r="E452" s="160"/>
      <c r="F452" s="160"/>
      <c r="G452" s="160"/>
      <c r="H452" s="160"/>
      <c r="I452" s="160"/>
      <c r="J452" s="160"/>
      <c r="K452" s="160"/>
      <c r="L452" s="160"/>
      <c r="M452" s="160"/>
    </row>
    <row r="453" spans="2:13">
      <c r="B453" s="400"/>
      <c r="C453" s="160"/>
      <c r="D453" s="160"/>
      <c r="E453" s="160"/>
      <c r="F453" s="160"/>
      <c r="G453" s="160"/>
      <c r="H453" s="160"/>
      <c r="I453" s="160"/>
      <c r="J453" s="160"/>
      <c r="K453" s="160"/>
      <c r="L453" s="160"/>
      <c r="M453" s="160"/>
    </row>
    <row r="454" spans="2:13">
      <c r="B454" s="400"/>
      <c r="C454" s="160"/>
      <c r="D454" s="160"/>
      <c r="E454" s="160"/>
      <c r="F454" s="160"/>
      <c r="G454" s="160"/>
      <c r="H454" s="160"/>
      <c r="I454" s="160"/>
      <c r="J454" s="160"/>
      <c r="K454" s="160"/>
      <c r="L454" s="160"/>
      <c r="M454" s="160"/>
    </row>
    <row r="455" spans="2:13">
      <c r="B455" s="400"/>
      <c r="C455" s="160"/>
      <c r="D455" s="160"/>
      <c r="E455" s="160"/>
      <c r="F455" s="160"/>
      <c r="G455" s="160"/>
      <c r="H455" s="160"/>
      <c r="I455" s="160"/>
      <c r="J455" s="160"/>
      <c r="K455" s="160"/>
      <c r="L455" s="160"/>
      <c r="M455" s="160"/>
    </row>
    <row r="456" spans="2:13">
      <c r="B456" s="400"/>
      <c r="C456" s="160"/>
      <c r="D456" s="160"/>
      <c r="E456" s="160"/>
      <c r="F456" s="160"/>
      <c r="G456" s="160"/>
      <c r="H456" s="160"/>
      <c r="I456" s="160"/>
      <c r="J456" s="160"/>
      <c r="K456" s="160"/>
      <c r="L456" s="160"/>
      <c r="M456" s="160"/>
    </row>
    <row r="457" spans="2:13">
      <c r="B457" s="400"/>
      <c r="C457" s="160"/>
      <c r="D457" s="160"/>
      <c r="E457" s="160"/>
      <c r="F457" s="160"/>
      <c r="G457" s="160"/>
      <c r="H457" s="160"/>
      <c r="I457" s="160"/>
      <c r="J457" s="160"/>
      <c r="K457" s="160"/>
      <c r="L457" s="160"/>
      <c r="M457" s="160"/>
    </row>
    <row r="458" spans="2:13">
      <c r="B458" s="400"/>
      <c r="C458" s="160"/>
      <c r="D458" s="160"/>
      <c r="E458" s="160"/>
      <c r="F458" s="160"/>
      <c r="G458" s="160"/>
      <c r="H458" s="160"/>
      <c r="I458" s="160"/>
      <c r="J458" s="160"/>
      <c r="K458" s="160"/>
      <c r="L458" s="160"/>
      <c r="M458" s="160"/>
    </row>
    <row r="459" spans="2:13">
      <c r="B459" s="400"/>
      <c r="C459" s="160"/>
      <c r="D459" s="160"/>
      <c r="E459" s="160"/>
      <c r="F459" s="160"/>
      <c r="G459" s="160"/>
      <c r="H459" s="160"/>
      <c r="I459" s="160"/>
      <c r="J459" s="160"/>
      <c r="K459" s="160"/>
      <c r="L459" s="160"/>
      <c r="M459" s="160"/>
    </row>
    <row r="460" spans="2:13">
      <c r="B460" s="400"/>
      <c r="C460" s="160"/>
      <c r="D460" s="160"/>
      <c r="E460" s="160"/>
      <c r="F460" s="160"/>
      <c r="G460" s="160"/>
      <c r="H460" s="160"/>
      <c r="I460" s="160"/>
      <c r="J460" s="160"/>
      <c r="K460" s="160"/>
      <c r="L460" s="160"/>
      <c r="M460" s="160"/>
    </row>
    <row r="461" spans="2:13">
      <c r="B461" s="400"/>
      <c r="C461" s="160"/>
      <c r="D461" s="160"/>
      <c r="E461" s="160"/>
      <c r="F461" s="160"/>
      <c r="G461" s="160"/>
      <c r="H461" s="160"/>
      <c r="I461" s="160"/>
      <c r="J461" s="160"/>
      <c r="K461" s="160"/>
      <c r="L461" s="160"/>
      <c r="M461" s="160"/>
    </row>
    <row r="462" spans="2:13">
      <c r="B462" s="400"/>
      <c r="C462" s="160"/>
      <c r="D462" s="160"/>
      <c r="E462" s="160"/>
      <c r="F462" s="160"/>
      <c r="G462" s="160"/>
      <c r="H462" s="160"/>
      <c r="I462" s="160"/>
      <c r="J462" s="160"/>
      <c r="K462" s="160"/>
      <c r="L462" s="160"/>
      <c r="M462" s="160"/>
    </row>
    <row r="463" spans="2:13">
      <c r="B463" s="400"/>
      <c r="C463" s="160"/>
      <c r="D463" s="160"/>
      <c r="E463" s="160"/>
      <c r="F463" s="160"/>
      <c r="G463" s="160"/>
      <c r="H463" s="160"/>
      <c r="I463" s="160"/>
      <c r="J463" s="160"/>
      <c r="K463" s="160"/>
      <c r="L463" s="160"/>
      <c r="M463" s="160"/>
    </row>
    <row r="464" spans="2:13">
      <c r="B464" s="400"/>
      <c r="C464" s="160"/>
      <c r="D464" s="160"/>
      <c r="E464" s="160"/>
      <c r="F464" s="160"/>
      <c r="G464" s="160"/>
      <c r="H464" s="160"/>
      <c r="I464" s="160"/>
      <c r="J464" s="160"/>
      <c r="K464" s="160"/>
      <c r="L464" s="160"/>
      <c r="M464" s="160"/>
    </row>
    <row r="465" spans="2:13">
      <c r="B465" s="400"/>
      <c r="C465" s="160"/>
      <c r="D465" s="160"/>
      <c r="E465" s="160"/>
      <c r="F465" s="160"/>
      <c r="G465" s="160"/>
      <c r="H465" s="160"/>
      <c r="I465" s="160"/>
      <c r="J465" s="160"/>
      <c r="K465" s="160"/>
      <c r="L465" s="160"/>
      <c r="M465" s="160"/>
    </row>
    <row r="466" spans="2:13">
      <c r="B466" s="400"/>
      <c r="C466" s="160"/>
      <c r="D466" s="160"/>
      <c r="E466" s="160"/>
      <c r="F466" s="160"/>
      <c r="G466" s="160"/>
      <c r="H466" s="160"/>
      <c r="I466" s="160"/>
      <c r="J466" s="160"/>
      <c r="K466" s="160"/>
      <c r="L466" s="160"/>
      <c r="M466" s="160"/>
    </row>
    <row r="467" spans="2:13">
      <c r="B467" s="400"/>
      <c r="C467" s="160"/>
      <c r="D467" s="160"/>
      <c r="E467" s="160"/>
      <c r="F467" s="160"/>
      <c r="G467" s="160"/>
      <c r="H467" s="160"/>
      <c r="I467" s="160"/>
      <c r="J467" s="160"/>
      <c r="K467" s="160"/>
      <c r="L467" s="160"/>
      <c r="M467" s="160"/>
    </row>
    <row r="468" spans="2:13">
      <c r="B468" s="400"/>
      <c r="C468" s="160"/>
      <c r="D468" s="160"/>
      <c r="E468" s="160"/>
      <c r="F468" s="160"/>
      <c r="G468" s="160"/>
      <c r="H468" s="160"/>
      <c r="I468" s="160"/>
      <c r="J468" s="160"/>
      <c r="K468" s="160"/>
      <c r="L468" s="160"/>
      <c r="M468" s="160"/>
    </row>
    <row r="469" spans="2:13">
      <c r="B469" s="400"/>
      <c r="C469" s="160"/>
      <c r="D469" s="160"/>
      <c r="E469" s="160"/>
      <c r="F469" s="160"/>
      <c r="G469" s="160"/>
      <c r="H469" s="160"/>
      <c r="I469" s="160"/>
      <c r="J469" s="160"/>
      <c r="K469" s="160"/>
      <c r="L469" s="160"/>
      <c r="M469" s="160"/>
    </row>
    <row r="470" spans="2:13">
      <c r="B470" s="400"/>
      <c r="C470" s="160"/>
      <c r="D470" s="160"/>
      <c r="E470" s="160"/>
      <c r="F470" s="160"/>
      <c r="G470" s="160"/>
      <c r="H470" s="160"/>
      <c r="I470" s="160"/>
      <c r="J470" s="160"/>
      <c r="K470" s="160"/>
      <c r="L470" s="160"/>
      <c r="M470" s="160"/>
    </row>
    <row r="471" spans="2:13">
      <c r="B471" s="400"/>
      <c r="C471" s="160"/>
      <c r="D471" s="160"/>
      <c r="E471" s="160"/>
      <c r="F471" s="160"/>
      <c r="G471" s="160"/>
      <c r="H471" s="160"/>
      <c r="I471" s="160"/>
      <c r="J471" s="160"/>
      <c r="K471" s="160"/>
      <c r="L471" s="160"/>
      <c r="M471" s="160"/>
    </row>
    <row r="472" spans="2:13">
      <c r="B472" s="400"/>
      <c r="C472" s="160"/>
      <c r="D472" s="160"/>
      <c r="E472" s="160"/>
      <c r="F472" s="160"/>
      <c r="G472" s="160"/>
      <c r="H472" s="160"/>
      <c r="I472" s="160"/>
      <c r="J472" s="160"/>
      <c r="K472" s="160"/>
      <c r="L472" s="160"/>
      <c r="M472" s="160"/>
    </row>
    <row r="473" spans="2:13">
      <c r="B473" s="400"/>
      <c r="C473" s="160"/>
      <c r="D473" s="160"/>
      <c r="E473" s="160"/>
      <c r="F473" s="160"/>
      <c r="G473" s="160"/>
      <c r="H473" s="160"/>
      <c r="I473" s="160"/>
      <c r="J473" s="160"/>
      <c r="K473" s="160"/>
      <c r="L473" s="160"/>
      <c r="M473" s="160"/>
    </row>
    <row r="474" spans="2:13">
      <c r="B474" s="400"/>
      <c r="C474" s="160"/>
      <c r="D474" s="160"/>
      <c r="E474" s="160"/>
      <c r="F474" s="160"/>
      <c r="G474" s="160"/>
      <c r="H474" s="160"/>
      <c r="I474" s="160"/>
      <c r="J474" s="160"/>
      <c r="K474" s="160"/>
      <c r="L474" s="160"/>
      <c r="M474" s="160"/>
    </row>
    <row r="475" spans="2:13">
      <c r="B475" s="400"/>
      <c r="C475" s="160"/>
      <c r="D475" s="160"/>
      <c r="E475" s="160"/>
      <c r="F475" s="160"/>
      <c r="G475" s="160"/>
      <c r="H475" s="160"/>
      <c r="I475" s="160"/>
      <c r="J475" s="160"/>
      <c r="K475" s="160"/>
      <c r="L475" s="160"/>
      <c r="M475" s="160"/>
    </row>
    <row r="476" spans="2:13">
      <c r="B476" s="400"/>
      <c r="C476" s="160"/>
      <c r="D476" s="160"/>
      <c r="E476" s="160"/>
      <c r="F476" s="160"/>
      <c r="G476" s="160"/>
      <c r="H476" s="160"/>
      <c r="I476" s="160"/>
      <c r="J476" s="160"/>
      <c r="K476" s="160"/>
      <c r="L476" s="160"/>
      <c r="M476" s="160"/>
    </row>
    <row r="477" spans="2:13">
      <c r="B477" s="400"/>
      <c r="C477" s="160"/>
      <c r="D477" s="160"/>
      <c r="E477" s="160"/>
      <c r="F477" s="160"/>
      <c r="G477" s="160"/>
      <c r="H477" s="160"/>
      <c r="I477" s="160"/>
      <c r="J477" s="160"/>
      <c r="K477" s="160"/>
      <c r="L477" s="160"/>
      <c r="M477" s="160"/>
    </row>
    <row r="478" spans="2:13">
      <c r="B478" s="400"/>
      <c r="C478" s="160"/>
      <c r="D478" s="160"/>
      <c r="E478" s="160"/>
      <c r="F478" s="160"/>
      <c r="G478" s="160"/>
      <c r="H478" s="160"/>
      <c r="I478" s="160"/>
      <c r="J478" s="160"/>
      <c r="K478" s="160"/>
      <c r="L478" s="160"/>
      <c r="M478" s="160"/>
    </row>
    <row r="479" spans="2:13">
      <c r="B479" s="400"/>
      <c r="C479" s="160"/>
      <c r="D479" s="160"/>
      <c r="E479" s="160"/>
      <c r="F479" s="160"/>
      <c r="G479" s="160"/>
      <c r="H479" s="160"/>
      <c r="I479" s="160"/>
      <c r="J479" s="160"/>
      <c r="K479" s="160"/>
      <c r="L479" s="160"/>
      <c r="M479" s="160"/>
    </row>
    <row r="480" spans="2:13">
      <c r="B480" s="400"/>
      <c r="C480" s="160"/>
      <c r="D480" s="160"/>
      <c r="E480" s="160"/>
      <c r="F480" s="160"/>
      <c r="G480" s="160"/>
      <c r="H480" s="160"/>
      <c r="I480" s="160"/>
      <c r="J480" s="160"/>
      <c r="K480" s="160"/>
      <c r="L480" s="160"/>
      <c r="M480" s="160"/>
    </row>
    <row r="481" spans="2:13">
      <c r="B481" s="400"/>
      <c r="C481" s="160"/>
      <c r="D481" s="160"/>
      <c r="E481" s="160"/>
      <c r="F481" s="160"/>
      <c r="G481" s="160"/>
      <c r="H481" s="160"/>
      <c r="I481" s="160"/>
      <c r="J481" s="160"/>
      <c r="K481" s="160"/>
      <c r="L481" s="160"/>
      <c r="M481" s="160"/>
    </row>
    <row r="482" spans="2:13">
      <c r="B482" s="400"/>
      <c r="C482" s="160"/>
      <c r="D482" s="160"/>
      <c r="E482" s="160"/>
      <c r="F482" s="160"/>
      <c r="G482" s="160"/>
      <c r="H482" s="160"/>
      <c r="I482" s="160"/>
      <c r="J482" s="160"/>
      <c r="K482" s="160"/>
      <c r="L482" s="160"/>
      <c r="M482" s="160"/>
    </row>
    <row r="483" spans="2:13">
      <c r="B483" s="400"/>
      <c r="C483" s="160"/>
      <c r="D483" s="160"/>
      <c r="E483" s="160"/>
      <c r="F483" s="160"/>
      <c r="G483" s="160"/>
      <c r="H483" s="160"/>
      <c r="I483" s="160"/>
      <c r="J483" s="160"/>
      <c r="K483" s="160"/>
      <c r="L483" s="160"/>
      <c r="M483" s="160"/>
    </row>
    <row r="484" spans="2:13">
      <c r="B484" s="400"/>
      <c r="C484" s="160"/>
      <c r="D484" s="160"/>
      <c r="E484" s="160"/>
      <c r="F484" s="160"/>
      <c r="G484" s="160"/>
      <c r="H484" s="160"/>
      <c r="I484" s="160"/>
      <c r="J484" s="160"/>
      <c r="K484" s="160"/>
      <c r="L484" s="160"/>
      <c r="M484" s="160"/>
    </row>
    <row r="485" spans="2:13">
      <c r="B485" s="400"/>
      <c r="C485" s="160"/>
      <c r="D485" s="160"/>
      <c r="E485" s="160"/>
      <c r="F485" s="160"/>
      <c r="G485" s="160"/>
      <c r="H485" s="160"/>
      <c r="I485" s="160"/>
      <c r="J485" s="160"/>
      <c r="K485" s="160"/>
      <c r="L485" s="160"/>
      <c r="M485" s="160"/>
    </row>
    <row r="486" spans="2:13">
      <c r="B486" s="400"/>
      <c r="C486" s="160"/>
      <c r="D486" s="160"/>
      <c r="E486" s="160"/>
      <c r="F486" s="160"/>
      <c r="G486" s="160"/>
      <c r="H486" s="160"/>
      <c r="I486" s="160"/>
      <c r="J486" s="160"/>
      <c r="K486" s="160"/>
      <c r="L486" s="160"/>
      <c r="M486" s="160"/>
    </row>
    <row r="487" spans="2:13">
      <c r="B487" s="400"/>
      <c r="C487" s="160"/>
      <c r="D487" s="160"/>
      <c r="E487" s="160"/>
      <c r="F487" s="160"/>
      <c r="G487" s="160"/>
      <c r="H487" s="160"/>
      <c r="I487" s="160"/>
      <c r="J487" s="160"/>
      <c r="K487" s="160"/>
      <c r="L487" s="160"/>
      <c r="M487" s="160"/>
    </row>
    <row r="488" spans="2:13">
      <c r="B488" s="400"/>
      <c r="C488" s="160"/>
      <c r="D488" s="160"/>
      <c r="E488" s="160"/>
      <c r="F488" s="160"/>
      <c r="G488" s="160"/>
      <c r="H488" s="160"/>
      <c r="I488" s="160"/>
      <c r="J488" s="160"/>
      <c r="K488" s="160"/>
      <c r="L488" s="160"/>
      <c r="M488" s="160"/>
    </row>
    <row r="489" spans="2:13">
      <c r="B489" s="400"/>
      <c r="C489" s="160"/>
      <c r="D489" s="160"/>
      <c r="E489" s="160"/>
      <c r="F489" s="160"/>
      <c r="G489" s="160"/>
      <c r="H489" s="160"/>
      <c r="I489" s="160"/>
      <c r="J489" s="160"/>
      <c r="K489" s="160"/>
      <c r="L489" s="160"/>
      <c r="M489" s="160"/>
    </row>
    <row r="490" spans="2:13">
      <c r="B490" s="400"/>
      <c r="C490" s="160"/>
      <c r="D490" s="160"/>
      <c r="E490" s="160"/>
      <c r="F490" s="160"/>
      <c r="G490" s="160"/>
      <c r="H490" s="160"/>
      <c r="I490" s="160"/>
      <c r="J490" s="160"/>
      <c r="K490" s="160"/>
      <c r="L490" s="160"/>
      <c r="M490" s="160"/>
    </row>
    <row r="491" spans="2:13">
      <c r="B491" s="400"/>
      <c r="C491" s="160"/>
      <c r="D491" s="160"/>
      <c r="E491" s="160"/>
      <c r="F491" s="160"/>
      <c r="G491" s="160"/>
      <c r="H491" s="160"/>
      <c r="I491" s="160"/>
      <c r="J491" s="160"/>
      <c r="K491" s="160"/>
      <c r="L491" s="160"/>
      <c r="M491" s="160"/>
    </row>
    <row r="492" spans="2:13">
      <c r="B492" s="400"/>
      <c r="C492" s="160"/>
      <c r="D492" s="160"/>
      <c r="E492" s="160"/>
      <c r="F492" s="160"/>
      <c r="G492" s="160"/>
      <c r="H492" s="160"/>
      <c r="I492" s="160"/>
      <c r="J492" s="160"/>
      <c r="K492" s="160"/>
      <c r="L492" s="160"/>
      <c r="M492" s="160"/>
    </row>
    <row r="493" spans="2:13">
      <c r="B493" s="400"/>
      <c r="C493" s="160"/>
      <c r="D493" s="160"/>
      <c r="E493" s="160"/>
      <c r="F493" s="160"/>
      <c r="G493" s="160"/>
      <c r="H493" s="160"/>
      <c r="I493" s="160"/>
      <c r="J493" s="160"/>
      <c r="K493" s="160"/>
      <c r="L493" s="160"/>
      <c r="M493" s="160"/>
    </row>
    <row r="494" spans="2:13">
      <c r="B494" s="400"/>
      <c r="C494" s="160"/>
      <c r="D494" s="160"/>
      <c r="E494" s="160"/>
      <c r="F494" s="160"/>
      <c r="G494" s="160"/>
      <c r="H494" s="160"/>
      <c r="I494" s="160"/>
      <c r="J494" s="160"/>
      <c r="K494" s="160"/>
      <c r="L494" s="160"/>
      <c r="M494" s="160"/>
    </row>
    <row r="495" spans="2:13">
      <c r="B495" s="400"/>
      <c r="C495" s="160"/>
      <c r="D495" s="160"/>
      <c r="E495" s="160"/>
      <c r="F495" s="160"/>
      <c r="G495" s="160"/>
      <c r="H495" s="160"/>
      <c r="I495" s="160"/>
      <c r="J495" s="160"/>
      <c r="K495" s="160"/>
      <c r="L495" s="160"/>
      <c r="M495" s="160"/>
    </row>
    <row r="496" spans="2:13">
      <c r="B496" s="400"/>
      <c r="C496" s="160"/>
      <c r="D496" s="160"/>
      <c r="E496" s="160"/>
      <c r="F496" s="160"/>
      <c r="G496" s="160"/>
      <c r="H496" s="160"/>
      <c r="I496" s="160"/>
      <c r="J496" s="160"/>
      <c r="K496" s="160"/>
      <c r="L496" s="160"/>
      <c r="M496" s="160"/>
    </row>
    <row r="497" spans="2:13">
      <c r="B497" s="400"/>
      <c r="C497" s="160"/>
      <c r="D497" s="160"/>
      <c r="E497" s="160"/>
      <c r="F497" s="160"/>
      <c r="G497" s="160"/>
      <c r="H497" s="160"/>
      <c r="I497" s="160"/>
      <c r="J497" s="160"/>
      <c r="K497" s="160"/>
      <c r="L497" s="160"/>
      <c r="M497" s="160"/>
    </row>
    <row r="498" spans="2:13">
      <c r="B498" s="400"/>
      <c r="C498" s="160"/>
      <c r="D498" s="160"/>
      <c r="E498" s="160"/>
      <c r="F498" s="160"/>
      <c r="G498" s="160"/>
      <c r="H498" s="160"/>
      <c r="I498" s="160"/>
      <c r="J498" s="160"/>
      <c r="K498" s="160"/>
      <c r="L498" s="160"/>
      <c r="M498" s="160"/>
    </row>
    <row r="499" spans="2:13">
      <c r="B499" s="400"/>
      <c r="C499" s="160"/>
      <c r="D499" s="160"/>
      <c r="E499" s="160"/>
      <c r="F499" s="160"/>
      <c r="G499" s="160"/>
      <c r="H499" s="160"/>
      <c r="I499" s="160"/>
      <c r="J499" s="160"/>
      <c r="K499" s="160"/>
      <c r="L499" s="160"/>
      <c r="M499" s="160"/>
    </row>
    <row r="500" spans="2:13">
      <c r="B500" s="400"/>
      <c r="C500" s="160"/>
      <c r="D500" s="160"/>
      <c r="E500" s="160"/>
      <c r="F500" s="160"/>
      <c r="G500" s="160"/>
      <c r="H500" s="160"/>
      <c r="I500" s="160"/>
      <c r="J500" s="160"/>
      <c r="K500" s="160"/>
      <c r="L500" s="160"/>
      <c r="M500" s="160"/>
    </row>
    <row r="501" spans="2:13">
      <c r="B501" s="400"/>
      <c r="C501" s="160"/>
      <c r="D501" s="160"/>
      <c r="E501" s="160"/>
      <c r="F501" s="160"/>
      <c r="G501" s="160"/>
      <c r="H501" s="160"/>
      <c r="I501" s="160"/>
      <c r="J501" s="160"/>
      <c r="K501" s="160"/>
      <c r="L501" s="160"/>
      <c r="M501" s="160"/>
    </row>
    <row r="502" spans="2:13">
      <c r="B502" s="400"/>
      <c r="C502" s="160"/>
      <c r="D502" s="160"/>
      <c r="E502" s="160"/>
      <c r="F502" s="160"/>
      <c r="G502" s="160"/>
      <c r="H502" s="160"/>
      <c r="I502" s="160"/>
      <c r="J502" s="160"/>
      <c r="K502" s="160"/>
      <c r="L502" s="160"/>
      <c r="M502" s="160"/>
    </row>
    <row r="503" spans="2:13">
      <c r="B503" s="400"/>
      <c r="C503" s="160"/>
      <c r="D503" s="160"/>
      <c r="E503" s="160"/>
      <c r="F503" s="160"/>
      <c r="G503" s="160"/>
      <c r="H503" s="160"/>
      <c r="I503" s="160"/>
      <c r="J503" s="160"/>
      <c r="K503" s="160"/>
      <c r="L503" s="160"/>
      <c r="M503" s="160"/>
    </row>
    <row r="504" spans="2:13">
      <c r="B504" s="400"/>
      <c r="C504" s="160"/>
      <c r="D504" s="160"/>
      <c r="E504" s="160"/>
      <c r="F504" s="160"/>
      <c r="G504" s="160"/>
      <c r="H504" s="160"/>
      <c r="I504" s="160"/>
      <c r="J504" s="160"/>
      <c r="K504" s="160"/>
      <c r="L504" s="160"/>
      <c r="M504" s="160"/>
    </row>
    <row r="505" spans="2:13">
      <c r="B505" s="400"/>
      <c r="C505" s="160"/>
      <c r="D505" s="160"/>
      <c r="E505" s="160"/>
      <c r="F505" s="160"/>
      <c r="G505" s="160"/>
      <c r="H505" s="160"/>
      <c r="I505" s="160"/>
      <c r="J505" s="160"/>
      <c r="K505" s="160"/>
      <c r="L505" s="160"/>
      <c r="M505" s="160"/>
    </row>
    <row r="506" spans="2:13">
      <c r="B506" s="400"/>
      <c r="C506" s="160"/>
      <c r="D506" s="160"/>
      <c r="E506" s="160"/>
      <c r="F506" s="160"/>
      <c r="G506" s="160"/>
      <c r="H506" s="160"/>
      <c r="I506" s="160"/>
      <c r="J506" s="160"/>
      <c r="K506" s="160"/>
      <c r="L506" s="160"/>
      <c r="M506" s="160"/>
    </row>
    <row r="507" spans="2:13">
      <c r="B507" s="400"/>
      <c r="C507" s="160"/>
      <c r="D507" s="160"/>
      <c r="E507" s="160"/>
      <c r="F507" s="160"/>
      <c r="G507" s="160"/>
      <c r="H507" s="160"/>
      <c r="I507" s="160"/>
      <c r="J507" s="160"/>
      <c r="K507" s="160"/>
      <c r="L507" s="160"/>
      <c r="M507" s="160"/>
    </row>
    <row r="508" spans="2:13">
      <c r="B508" s="400"/>
      <c r="C508" s="160"/>
      <c r="D508" s="160"/>
      <c r="E508" s="160"/>
      <c r="F508" s="160"/>
      <c r="G508" s="160"/>
      <c r="H508" s="160"/>
      <c r="I508" s="160"/>
      <c r="J508" s="160"/>
      <c r="K508" s="160"/>
      <c r="L508" s="160"/>
      <c r="M508" s="160"/>
    </row>
    <row r="509" spans="2:13">
      <c r="B509" s="400"/>
      <c r="C509" s="160"/>
      <c r="D509" s="160"/>
      <c r="E509" s="160"/>
      <c r="F509" s="160"/>
      <c r="G509" s="160"/>
      <c r="H509" s="160"/>
      <c r="I509" s="160"/>
      <c r="J509" s="160"/>
      <c r="K509" s="160"/>
      <c r="L509" s="160"/>
      <c r="M509" s="160"/>
    </row>
    <row r="510" spans="2:13">
      <c r="B510" s="400"/>
      <c r="C510" s="160"/>
      <c r="D510" s="160"/>
      <c r="E510" s="160"/>
      <c r="F510" s="160"/>
      <c r="G510" s="160"/>
      <c r="H510" s="160"/>
      <c r="I510" s="160"/>
      <c r="J510" s="160"/>
      <c r="K510" s="160"/>
      <c r="L510" s="160"/>
      <c r="M510" s="160"/>
    </row>
    <row r="511" spans="2:13">
      <c r="B511" s="400"/>
      <c r="C511" s="160"/>
      <c r="D511" s="160"/>
      <c r="E511" s="160"/>
      <c r="F511" s="160"/>
      <c r="G511" s="160"/>
      <c r="H511" s="160"/>
      <c r="I511" s="160"/>
      <c r="J511" s="160"/>
      <c r="K511" s="160"/>
      <c r="L511" s="160"/>
      <c r="M511" s="160"/>
    </row>
    <row r="512" spans="2:13">
      <c r="B512" s="400"/>
      <c r="C512" s="160"/>
      <c r="D512" s="160"/>
      <c r="E512" s="160"/>
      <c r="F512" s="160"/>
      <c r="G512" s="160"/>
      <c r="H512" s="160"/>
      <c r="I512" s="160"/>
      <c r="J512" s="160"/>
      <c r="K512" s="160"/>
      <c r="L512" s="160"/>
      <c r="M512" s="160"/>
    </row>
    <row r="513" spans="2:13">
      <c r="B513" s="400"/>
      <c r="C513" s="160"/>
      <c r="D513" s="160"/>
      <c r="E513" s="160"/>
      <c r="F513" s="160"/>
      <c r="G513" s="160"/>
      <c r="H513" s="160"/>
      <c r="I513" s="160"/>
      <c r="J513" s="160"/>
      <c r="K513" s="160"/>
      <c r="L513" s="160"/>
      <c r="M513" s="160"/>
    </row>
    <row r="514" spans="2:13">
      <c r="B514" s="400"/>
      <c r="C514" s="160"/>
      <c r="D514" s="160"/>
      <c r="E514" s="160"/>
      <c r="F514" s="160"/>
      <c r="G514" s="160"/>
      <c r="H514" s="160"/>
      <c r="I514" s="160"/>
      <c r="J514" s="160"/>
      <c r="K514" s="160"/>
      <c r="L514" s="160"/>
      <c r="M514" s="160"/>
    </row>
    <row r="515" spans="2:13">
      <c r="B515" s="400"/>
      <c r="C515" s="160"/>
      <c r="D515" s="160"/>
      <c r="E515" s="160"/>
      <c r="F515" s="160"/>
      <c r="G515" s="160"/>
      <c r="H515" s="160"/>
      <c r="I515" s="160"/>
      <c r="J515" s="160"/>
      <c r="K515" s="160"/>
      <c r="L515" s="160"/>
      <c r="M515" s="160"/>
    </row>
    <row r="516" spans="2:13">
      <c r="B516" s="400"/>
      <c r="C516" s="160"/>
      <c r="D516" s="160"/>
      <c r="E516" s="160"/>
      <c r="F516" s="160"/>
      <c r="G516" s="160"/>
      <c r="H516" s="160"/>
      <c r="I516" s="160"/>
      <c r="J516" s="160"/>
      <c r="K516" s="160"/>
      <c r="L516" s="160"/>
      <c r="M516" s="160"/>
    </row>
    <row r="517" spans="2:13">
      <c r="B517" s="400"/>
      <c r="C517" s="160"/>
      <c r="D517" s="160"/>
      <c r="E517" s="160"/>
      <c r="F517" s="160"/>
      <c r="G517" s="160"/>
      <c r="H517" s="160"/>
      <c r="I517" s="160"/>
      <c r="J517" s="160"/>
      <c r="K517" s="160"/>
      <c r="L517" s="160"/>
      <c r="M517" s="160"/>
    </row>
    <row r="518" spans="2:13">
      <c r="B518" s="400"/>
      <c r="C518" s="160"/>
      <c r="D518" s="160"/>
      <c r="E518" s="160"/>
      <c r="F518" s="160"/>
      <c r="G518" s="160"/>
      <c r="H518" s="160"/>
      <c r="I518" s="160"/>
      <c r="J518" s="160"/>
      <c r="K518" s="160"/>
      <c r="L518" s="160"/>
      <c r="M518" s="160"/>
    </row>
    <row r="519" spans="2:13">
      <c r="B519" s="400"/>
      <c r="C519" s="160"/>
      <c r="D519" s="160"/>
      <c r="E519" s="160"/>
      <c r="F519" s="160"/>
      <c r="G519" s="160"/>
      <c r="H519" s="160"/>
      <c r="I519" s="160"/>
      <c r="J519" s="160"/>
      <c r="K519" s="160"/>
      <c r="L519" s="160"/>
      <c r="M519" s="160"/>
    </row>
    <row r="520" spans="2:13">
      <c r="B520" s="400"/>
      <c r="C520" s="160"/>
      <c r="D520" s="160"/>
      <c r="E520" s="160"/>
      <c r="F520" s="160"/>
      <c r="G520" s="160"/>
      <c r="H520" s="160"/>
      <c r="I520" s="160"/>
      <c r="J520" s="160"/>
      <c r="K520" s="160"/>
      <c r="L520" s="160"/>
      <c r="M520" s="160"/>
    </row>
    <row r="521" spans="2:13">
      <c r="B521" s="400"/>
      <c r="C521" s="160"/>
      <c r="D521" s="160"/>
      <c r="E521" s="160"/>
      <c r="F521" s="160"/>
      <c r="G521" s="160"/>
      <c r="H521" s="160"/>
      <c r="I521" s="160"/>
      <c r="J521" s="160"/>
      <c r="K521" s="160"/>
      <c r="L521" s="160"/>
      <c r="M521" s="160"/>
    </row>
    <row r="522" spans="2:13">
      <c r="B522" s="400"/>
      <c r="C522" s="160"/>
      <c r="D522" s="160"/>
      <c r="E522" s="160"/>
      <c r="F522" s="160"/>
      <c r="G522" s="160"/>
      <c r="H522" s="160"/>
      <c r="I522" s="160"/>
      <c r="J522" s="160"/>
      <c r="K522" s="160"/>
      <c r="L522" s="160"/>
      <c r="M522" s="160"/>
    </row>
    <row r="523" spans="2:13">
      <c r="B523" s="400"/>
      <c r="C523" s="160"/>
      <c r="D523" s="160"/>
      <c r="E523" s="160"/>
      <c r="F523" s="160"/>
      <c r="G523" s="160"/>
      <c r="H523" s="160"/>
      <c r="I523" s="160"/>
      <c r="J523" s="160"/>
      <c r="K523" s="160"/>
      <c r="L523" s="160"/>
      <c r="M523" s="160"/>
    </row>
    <row r="524" spans="2:13">
      <c r="B524" s="400"/>
      <c r="C524" s="160"/>
      <c r="D524" s="160"/>
      <c r="E524" s="160"/>
      <c r="F524" s="160"/>
      <c r="G524" s="160"/>
      <c r="H524" s="160"/>
      <c r="I524" s="160"/>
      <c r="J524" s="160"/>
      <c r="K524" s="160"/>
      <c r="L524" s="160"/>
      <c r="M524" s="160"/>
    </row>
    <row r="525" spans="2:13">
      <c r="B525" s="400"/>
      <c r="C525" s="160"/>
      <c r="D525" s="160"/>
      <c r="E525" s="160"/>
      <c r="F525" s="160"/>
      <c r="G525" s="160"/>
      <c r="H525" s="160"/>
      <c r="I525" s="160"/>
      <c r="J525" s="160"/>
      <c r="K525" s="160"/>
      <c r="L525" s="160"/>
      <c r="M525" s="160"/>
    </row>
    <row r="526" spans="2:13">
      <c r="B526" s="400"/>
      <c r="C526" s="160"/>
      <c r="D526" s="160"/>
      <c r="E526" s="160"/>
      <c r="F526" s="160"/>
      <c r="G526" s="160"/>
      <c r="H526" s="160"/>
      <c r="I526" s="160"/>
      <c r="J526" s="160"/>
      <c r="K526" s="160"/>
      <c r="L526" s="160"/>
      <c r="M526" s="160"/>
    </row>
    <row r="527" spans="2:13">
      <c r="B527" s="400"/>
      <c r="C527" s="160"/>
      <c r="D527" s="160"/>
      <c r="E527" s="160"/>
      <c r="F527" s="160"/>
      <c r="G527" s="160"/>
      <c r="H527" s="160"/>
      <c r="I527" s="160"/>
      <c r="J527" s="160"/>
      <c r="K527" s="160"/>
      <c r="L527" s="160"/>
      <c r="M527" s="160"/>
    </row>
    <row r="528" spans="2:13">
      <c r="B528" s="400"/>
      <c r="C528" s="160"/>
      <c r="D528" s="160"/>
      <c r="E528" s="160"/>
      <c r="F528" s="160"/>
      <c r="G528" s="160"/>
      <c r="H528" s="160"/>
      <c r="I528" s="160"/>
      <c r="J528" s="160"/>
      <c r="K528" s="160"/>
      <c r="L528" s="160"/>
      <c r="M528" s="160"/>
    </row>
    <row r="529" spans="2:13">
      <c r="B529" s="400"/>
      <c r="C529" s="160"/>
      <c r="D529" s="160"/>
      <c r="E529" s="160"/>
      <c r="F529" s="160"/>
      <c r="G529" s="160"/>
      <c r="H529" s="160"/>
      <c r="I529" s="160"/>
      <c r="J529" s="160"/>
      <c r="K529" s="160"/>
      <c r="L529" s="160"/>
      <c r="M529" s="160"/>
    </row>
    <row r="530" spans="2:13">
      <c r="B530" s="400"/>
      <c r="C530" s="160"/>
      <c r="D530" s="160"/>
      <c r="E530" s="160"/>
      <c r="F530" s="160"/>
      <c r="G530" s="160"/>
      <c r="H530" s="160"/>
      <c r="I530" s="160"/>
      <c r="J530" s="160"/>
      <c r="K530" s="160"/>
      <c r="L530" s="160"/>
      <c r="M530" s="160"/>
    </row>
    <row r="531" spans="2:13">
      <c r="B531" s="400"/>
      <c r="C531" s="160"/>
      <c r="D531" s="160"/>
      <c r="E531" s="160"/>
      <c r="F531" s="160"/>
      <c r="G531" s="160"/>
      <c r="H531" s="160"/>
      <c r="I531" s="160"/>
      <c r="J531" s="160"/>
      <c r="K531" s="160"/>
      <c r="L531" s="160"/>
      <c r="M531" s="160"/>
    </row>
    <row r="532" spans="2:13">
      <c r="B532" s="400"/>
      <c r="C532" s="160"/>
      <c r="D532" s="160"/>
      <c r="E532" s="160"/>
      <c r="F532" s="160"/>
      <c r="G532" s="160"/>
      <c r="H532" s="160"/>
      <c r="I532" s="160"/>
      <c r="J532" s="160"/>
      <c r="K532" s="160"/>
      <c r="L532" s="160"/>
      <c r="M532" s="160"/>
    </row>
    <row r="533" spans="2:13">
      <c r="B533" s="400"/>
      <c r="C533" s="160"/>
      <c r="D533" s="160"/>
      <c r="E533" s="160"/>
      <c r="F533" s="160"/>
      <c r="G533" s="160"/>
      <c r="H533" s="160"/>
      <c r="I533" s="160"/>
      <c r="J533" s="160"/>
      <c r="K533" s="160"/>
      <c r="L533" s="160"/>
      <c r="M533" s="160"/>
    </row>
    <row r="534" spans="2:13">
      <c r="B534" s="400"/>
      <c r="C534" s="160"/>
      <c r="D534" s="160"/>
      <c r="E534" s="160"/>
      <c r="F534" s="160"/>
      <c r="G534" s="160"/>
      <c r="H534" s="160"/>
      <c r="I534" s="160"/>
      <c r="J534" s="160"/>
      <c r="K534" s="160"/>
      <c r="L534" s="160"/>
      <c r="M534" s="160"/>
    </row>
    <row r="535" spans="2:13">
      <c r="B535" s="400"/>
      <c r="C535" s="160"/>
      <c r="D535" s="160"/>
      <c r="E535" s="160"/>
      <c r="F535" s="160"/>
      <c r="G535" s="160"/>
      <c r="H535" s="160"/>
      <c r="I535" s="160"/>
      <c r="J535" s="160"/>
      <c r="K535" s="160"/>
      <c r="L535" s="160"/>
      <c r="M535" s="160"/>
    </row>
    <row r="536" spans="2:13">
      <c r="B536" s="400"/>
      <c r="C536" s="160"/>
      <c r="D536" s="160"/>
      <c r="E536" s="160"/>
      <c r="F536" s="160"/>
      <c r="G536" s="160"/>
      <c r="H536" s="160"/>
      <c r="I536" s="160"/>
      <c r="J536" s="160"/>
      <c r="K536" s="160"/>
      <c r="L536" s="160"/>
      <c r="M536" s="160"/>
    </row>
    <row r="537" spans="2:13">
      <c r="B537" s="400"/>
      <c r="C537" s="160"/>
      <c r="D537" s="160"/>
      <c r="E537" s="160"/>
      <c r="F537" s="160"/>
      <c r="G537" s="160"/>
      <c r="H537" s="160"/>
      <c r="I537" s="160"/>
      <c r="J537" s="160"/>
      <c r="K537" s="160"/>
      <c r="L537" s="160"/>
      <c r="M537" s="160"/>
    </row>
    <row r="538" spans="2:13">
      <c r="B538" s="400"/>
      <c r="C538" s="160"/>
      <c r="D538" s="160"/>
      <c r="E538" s="160"/>
      <c r="F538" s="160"/>
      <c r="G538" s="160"/>
      <c r="H538" s="160"/>
      <c r="I538" s="160"/>
      <c r="J538" s="160"/>
      <c r="K538" s="160"/>
      <c r="L538" s="160"/>
      <c r="M538" s="160"/>
    </row>
    <row r="539" spans="2:13">
      <c r="B539" s="400"/>
      <c r="C539" s="160"/>
      <c r="D539" s="160"/>
      <c r="E539" s="160"/>
      <c r="F539" s="160"/>
      <c r="G539" s="160"/>
      <c r="H539" s="160"/>
      <c r="I539" s="160"/>
      <c r="J539" s="160"/>
      <c r="K539" s="160"/>
      <c r="L539" s="160"/>
      <c r="M539" s="160"/>
    </row>
    <row r="540" spans="2:13">
      <c r="B540" s="400"/>
      <c r="C540" s="160"/>
      <c r="D540" s="160"/>
      <c r="E540" s="160"/>
      <c r="F540" s="160"/>
      <c r="G540" s="160"/>
      <c r="H540" s="160"/>
      <c r="I540" s="160"/>
      <c r="J540" s="160"/>
      <c r="K540" s="160"/>
      <c r="L540" s="160"/>
      <c r="M540" s="160"/>
    </row>
    <row r="541" spans="2:13">
      <c r="B541" s="400"/>
      <c r="C541" s="160"/>
      <c r="D541" s="160"/>
      <c r="E541" s="160"/>
      <c r="F541" s="160"/>
      <c r="G541" s="160"/>
      <c r="H541" s="160"/>
      <c r="I541" s="160"/>
      <c r="J541" s="160"/>
      <c r="K541" s="160"/>
      <c r="L541" s="160"/>
      <c r="M541" s="160"/>
    </row>
    <row r="542" spans="2:13">
      <c r="B542" s="400"/>
      <c r="C542" s="160"/>
      <c r="D542" s="160"/>
      <c r="E542" s="160"/>
      <c r="F542" s="160"/>
      <c r="G542" s="160"/>
      <c r="H542" s="160"/>
      <c r="I542" s="160"/>
      <c r="J542" s="160"/>
      <c r="K542" s="160"/>
      <c r="L542" s="160"/>
      <c r="M542" s="160"/>
    </row>
    <row r="543" spans="2:13">
      <c r="B543" s="400"/>
      <c r="C543" s="160"/>
      <c r="D543" s="160"/>
      <c r="E543" s="160"/>
      <c r="F543" s="160"/>
      <c r="G543" s="160"/>
      <c r="H543" s="160"/>
      <c r="I543" s="160"/>
      <c r="J543" s="160"/>
      <c r="K543" s="160"/>
      <c r="L543" s="160"/>
      <c r="M543" s="160"/>
    </row>
    <row r="544" spans="2:13">
      <c r="B544" s="400"/>
      <c r="C544" s="160"/>
      <c r="D544" s="160"/>
      <c r="E544" s="160"/>
      <c r="F544" s="160"/>
      <c r="G544" s="160"/>
      <c r="H544" s="160"/>
      <c r="I544" s="160"/>
      <c r="J544" s="160"/>
      <c r="K544" s="160"/>
      <c r="L544" s="160"/>
      <c r="M544" s="160"/>
    </row>
    <row r="545" spans="2:13">
      <c r="B545" s="400"/>
      <c r="C545" s="160"/>
      <c r="D545" s="160"/>
      <c r="E545" s="160"/>
      <c r="F545" s="160"/>
      <c r="G545" s="160"/>
      <c r="H545" s="160"/>
      <c r="I545" s="160"/>
      <c r="J545" s="160"/>
      <c r="K545" s="160"/>
      <c r="L545" s="160"/>
      <c r="M545" s="160"/>
    </row>
    <row r="546" spans="2:13">
      <c r="B546" s="400"/>
      <c r="C546" s="160"/>
      <c r="D546" s="160"/>
      <c r="E546" s="160"/>
      <c r="F546" s="160"/>
      <c r="G546" s="160"/>
      <c r="H546" s="160"/>
      <c r="I546" s="160"/>
      <c r="J546" s="160"/>
      <c r="K546" s="160"/>
      <c r="L546" s="160"/>
      <c r="M546" s="160"/>
    </row>
    <row r="547" spans="2:13">
      <c r="B547" s="400"/>
      <c r="C547" s="160"/>
      <c r="D547" s="160"/>
      <c r="E547" s="160"/>
      <c r="F547" s="160"/>
      <c r="G547" s="160"/>
      <c r="H547" s="160"/>
      <c r="I547" s="160"/>
      <c r="J547" s="160"/>
      <c r="K547" s="160"/>
      <c r="L547" s="160"/>
      <c r="M547" s="160"/>
    </row>
    <row r="548" spans="2:13">
      <c r="B548" s="400"/>
      <c r="C548" s="160"/>
      <c r="D548" s="160"/>
      <c r="E548" s="160"/>
      <c r="F548" s="160"/>
      <c r="G548" s="160"/>
      <c r="H548" s="160"/>
      <c r="I548" s="160"/>
      <c r="J548" s="160"/>
      <c r="K548" s="160"/>
      <c r="L548" s="160"/>
      <c r="M548" s="160"/>
    </row>
    <row r="549" spans="2:13">
      <c r="B549" s="400"/>
      <c r="C549" s="160"/>
      <c r="D549" s="160"/>
      <c r="E549" s="160"/>
      <c r="F549" s="160"/>
      <c r="G549" s="160"/>
      <c r="H549" s="160"/>
      <c r="I549" s="160"/>
      <c r="J549" s="160"/>
      <c r="K549" s="160"/>
      <c r="L549" s="160"/>
      <c r="M549" s="160"/>
    </row>
    <row r="550" spans="2:13">
      <c r="B550" s="400"/>
      <c r="C550" s="160"/>
      <c r="D550" s="160"/>
      <c r="E550" s="160"/>
      <c r="F550" s="160"/>
      <c r="G550" s="160"/>
      <c r="H550" s="160"/>
      <c r="I550" s="160"/>
      <c r="J550" s="160"/>
      <c r="K550" s="160"/>
      <c r="L550" s="160"/>
      <c r="M550" s="160"/>
    </row>
    <row r="551" spans="2:13">
      <c r="B551" s="400"/>
      <c r="C551" s="160"/>
      <c r="D551" s="160"/>
      <c r="E551" s="160"/>
      <c r="F551" s="160"/>
      <c r="G551" s="160"/>
      <c r="H551" s="160"/>
      <c r="I551" s="160"/>
      <c r="J551" s="160"/>
      <c r="K551" s="160"/>
      <c r="L551" s="160"/>
      <c r="M551" s="160"/>
    </row>
    <row r="552" spans="2:13">
      <c r="B552" s="400"/>
      <c r="C552" s="160"/>
      <c r="D552" s="160"/>
      <c r="E552" s="160"/>
      <c r="F552" s="160"/>
      <c r="G552" s="160"/>
      <c r="H552" s="160"/>
      <c r="I552" s="160"/>
      <c r="J552" s="160"/>
      <c r="K552" s="160"/>
      <c r="L552" s="160"/>
      <c r="M552" s="160"/>
    </row>
    <row r="553" spans="2:13">
      <c r="B553" s="400"/>
      <c r="C553" s="160"/>
      <c r="D553" s="160"/>
      <c r="E553" s="160"/>
      <c r="F553" s="160"/>
      <c r="G553" s="160"/>
      <c r="H553" s="160"/>
      <c r="I553" s="160"/>
      <c r="J553" s="160"/>
      <c r="K553" s="160"/>
      <c r="L553" s="160"/>
      <c r="M553" s="160"/>
    </row>
    <row r="554" spans="2:13">
      <c r="B554" s="400"/>
      <c r="C554" s="160"/>
      <c r="D554" s="160"/>
      <c r="E554" s="160"/>
      <c r="F554" s="160"/>
      <c r="G554" s="160"/>
      <c r="H554" s="160"/>
      <c r="I554" s="160"/>
      <c r="J554" s="160"/>
      <c r="K554" s="160"/>
      <c r="L554" s="160"/>
      <c r="M554" s="160"/>
    </row>
    <row r="555" spans="2:13">
      <c r="B555" s="400"/>
      <c r="C555" s="160"/>
      <c r="D555" s="160"/>
      <c r="E555" s="160"/>
      <c r="F555" s="160"/>
      <c r="G555" s="160"/>
      <c r="H555" s="160"/>
      <c r="I555" s="160"/>
      <c r="J555" s="160"/>
      <c r="K555" s="160"/>
      <c r="L555" s="160"/>
      <c r="M555" s="160"/>
    </row>
    <row r="556" spans="2:13">
      <c r="B556" s="400"/>
      <c r="C556" s="160"/>
      <c r="D556" s="160"/>
      <c r="E556" s="160"/>
      <c r="F556" s="160"/>
      <c r="G556" s="160"/>
      <c r="H556" s="160"/>
      <c r="I556" s="160"/>
      <c r="J556" s="160"/>
      <c r="K556" s="160"/>
      <c r="L556" s="160"/>
      <c r="M556" s="160"/>
    </row>
    <row r="557" spans="2:13">
      <c r="B557" s="400"/>
      <c r="C557" s="160"/>
      <c r="D557" s="160"/>
      <c r="E557" s="160"/>
      <c r="F557" s="160"/>
      <c r="G557" s="160"/>
      <c r="H557" s="160"/>
      <c r="I557" s="160"/>
      <c r="J557" s="160"/>
      <c r="K557" s="160"/>
      <c r="L557" s="160"/>
      <c r="M557" s="160"/>
    </row>
    <row r="558" spans="2:13">
      <c r="B558" s="400"/>
      <c r="C558" s="160"/>
      <c r="D558" s="160"/>
      <c r="E558" s="160"/>
      <c r="F558" s="160"/>
      <c r="G558" s="160"/>
      <c r="H558" s="160"/>
      <c r="I558" s="160"/>
      <c r="J558" s="160"/>
      <c r="K558" s="160"/>
      <c r="L558" s="160"/>
      <c r="M558" s="160"/>
    </row>
    <row r="559" spans="2:13">
      <c r="B559" s="400"/>
      <c r="C559" s="160"/>
      <c r="D559" s="160"/>
      <c r="E559" s="160"/>
      <c r="F559" s="160"/>
      <c r="G559" s="160"/>
      <c r="H559" s="160"/>
      <c r="I559" s="160"/>
      <c r="J559" s="160"/>
      <c r="K559" s="160"/>
      <c r="L559" s="160"/>
      <c r="M559" s="160"/>
    </row>
    <row r="560" spans="2:13">
      <c r="B560" s="400"/>
      <c r="C560" s="160"/>
      <c r="D560" s="160"/>
      <c r="E560" s="160"/>
      <c r="F560" s="160"/>
      <c r="G560" s="160"/>
      <c r="H560" s="160"/>
      <c r="I560" s="160"/>
      <c r="J560" s="160"/>
      <c r="K560" s="160"/>
      <c r="L560" s="160"/>
      <c r="M560" s="160"/>
    </row>
    <row r="561" spans="2:13">
      <c r="B561" s="400"/>
      <c r="C561" s="160"/>
      <c r="D561" s="160"/>
      <c r="E561" s="160"/>
      <c r="F561" s="160"/>
      <c r="G561" s="160"/>
      <c r="H561" s="160"/>
      <c r="I561" s="160"/>
      <c r="J561" s="160"/>
      <c r="K561" s="160"/>
      <c r="L561" s="160"/>
      <c r="M561" s="160"/>
    </row>
    <row r="562" spans="2:13">
      <c r="B562" s="400"/>
      <c r="C562" s="160"/>
      <c r="D562" s="160"/>
      <c r="E562" s="160"/>
      <c r="F562" s="160"/>
      <c r="G562" s="160"/>
      <c r="H562" s="160"/>
      <c r="I562" s="160"/>
      <c r="J562" s="160"/>
      <c r="K562" s="160"/>
      <c r="L562" s="160"/>
      <c r="M562" s="160"/>
    </row>
    <row r="563" spans="2:13">
      <c r="B563" s="400"/>
      <c r="C563" s="160"/>
      <c r="D563" s="160"/>
      <c r="E563" s="160"/>
      <c r="F563" s="160"/>
      <c r="G563" s="160"/>
      <c r="H563" s="160"/>
      <c r="I563" s="160"/>
      <c r="J563" s="160"/>
      <c r="K563" s="160"/>
      <c r="L563" s="160"/>
      <c r="M563" s="160"/>
    </row>
    <row r="564" spans="2:13">
      <c r="B564" s="400"/>
      <c r="C564" s="160"/>
      <c r="D564" s="160"/>
      <c r="E564" s="160"/>
      <c r="F564" s="160"/>
      <c r="G564" s="160"/>
      <c r="H564" s="160"/>
      <c r="I564" s="160"/>
      <c r="J564" s="160"/>
      <c r="K564" s="160"/>
      <c r="L564" s="160"/>
      <c r="M564" s="160"/>
    </row>
    <row r="565" spans="2:13">
      <c r="B565" s="400"/>
      <c r="C565" s="160"/>
      <c r="D565" s="160"/>
      <c r="E565" s="160"/>
      <c r="F565" s="160"/>
      <c r="G565" s="160"/>
      <c r="H565" s="160"/>
      <c r="I565" s="160"/>
      <c r="J565" s="160"/>
      <c r="K565" s="160"/>
      <c r="L565" s="160"/>
      <c r="M565" s="160"/>
    </row>
    <row r="566" spans="2:13">
      <c r="B566" s="400"/>
      <c r="C566" s="160"/>
      <c r="D566" s="160"/>
      <c r="E566" s="160"/>
      <c r="F566" s="160"/>
      <c r="G566" s="160"/>
      <c r="H566" s="160"/>
      <c r="I566" s="160"/>
      <c r="J566" s="160"/>
      <c r="K566" s="160"/>
      <c r="L566" s="160"/>
      <c r="M566" s="160"/>
    </row>
    <row r="567" spans="2:13">
      <c r="B567" s="400"/>
      <c r="C567" s="160"/>
      <c r="D567" s="160"/>
      <c r="E567" s="160"/>
      <c r="F567" s="160"/>
      <c r="G567" s="160"/>
      <c r="H567" s="160"/>
      <c r="I567" s="160"/>
      <c r="J567" s="160"/>
      <c r="K567" s="160"/>
      <c r="L567" s="160"/>
      <c r="M567" s="160"/>
    </row>
    <row r="568" spans="2:13">
      <c r="B568" s="400"/>
      <c r="C568" s="160"/>
      <c r="D568" s="160"/>
      <c r="E568" s="160"/>
      <c r="F568" s="160"/>
      <c r="G568" s="160"/>
      <c r="H568" s="160"/>
      <c r="I568" s="160"/>
      <c r="J568" s="160"/>
      <c r="K568" s="160"/>
      <c r="L568" s="160"/>
      <c r="M568" s="160"/>
    </row>
    <row r="569" spans="2:13">
      <c r="B569" s="400"/>
      <c r="C569" s="160"/>
      <c r="D569" s="160"/>
      <c r="E569" s="160"/>
      <c r="F569" s="160"/>
      <c r="G569" s="160"/>
      <c r="H569" s="160"/>
      <c r="I569" s="160"/>
      <c r="J569" s="160"/>
      <c r="K569" s="160"/>
      <c r="L569" s="160"/>
      <c r="M569" s="160"/>
    </row>
    <row r="570" spans="2:13">
      <c r="B570" s="400"/>
      <c r="C570" s="160"/>
      <c r="D570" s="160"/>
      <c r="E570" s="160"/>
      <c r="F570" s="160"/>
      <c r="G570" s="160"/>
      <c r="H570" s="160"/>
      <c r="I570" s="160"/>
      <c r="J570" s="160"/>
      <c r="K570" s="160"/>
      <c r="L570" s="160"/>
      <c r="M570" s="160"/>
    </row>
    <row r="571" spans="2:13">
      <c r="B571" s="400"/>
      <c r="C571" s="160"/>
      <c r="D571" s="160"/>
      <c r="E571" s="160"/>
      <c r="F571" s="160"/>
      <c r="G571" s="160"/>
      <c r="H571" s="160"/>
      <c r="I571" s="160"/>
      <c r="J571" s="160"/>
      <c r="K571" s="160"/>
      <c r="L571" s="160"/>
      <c r="M571" s="160"/>
    </row>
    <row r="572" spans="2:13">
      <c r="B572" s="400"/>
      <c r="C572" s="160"/>
      <c r="D572" s="160"/>
      <c r="E572" s="160"/>
      <c r="F572" s="160"/>
      <c r="G572" s="160"/>
      <c r="H572" s="160"/>
      <c r="I572" s="160"/>
      <c r="J572" s="160"/>
      <c r="K572" s="160"/>
      <c r="L572" s="160"/>
      <c r="M572" s="160"/>
    </row>
    <row r="573" spans="2:13">
      <c r="B573" s="400"/>
      <c r="C573" s="160"/>
      <c r="D573" s="160"/>
      <c r="E573" s="160"/>
      <c r="F573" s="160"/>
      <c r="G573" s="160"/>
      <c r="H573" s="160"/>
      <c r="I573" s="160"/>
      <c r="J573" s="160"/>
      <c r="K573" s="160"/>
      <c r="L573" s="160"/>
      <c r="M573" s="160"/>
    </row>
    <row r="574" spans="2:13">
      <c r="B574" s="400"/>
      <c r="C574" s="160"/>
      <c r="D574" s="160"/>
      <c r="E574" s="160"/>
      <c r="F574" s="160"/>
      <c r="G574" s="160"/>
      <c r="H574" s="160"/>
      <c r="I574" s="160"/>
      <c r="J574" s="160"/>
      <c r="K574" s="160"/>
      <c r="L574" s="160"/>
      <c r="M574" s="160"/>
    </row>
    <row r="575" spans="2:13">
      <c r="B575" s="400"/>
      <c r="C575" s="160"/>
      <c r="D575" s="160"/>
      <c r="E575" s="160"/>
      <c r="F575" s="160"/>
      <c r="G575" s="160"/>
      <c r="H575" s="160"/>
      <c r="I575" s="160"/>
      <c r="J575" s="160"/>
      <c r="K575" s="160"/>
      <c r="L575" s="160"/>
      <c r="M575" s="160"/>
    </row>
    <row r="576" spans="2:13">
      <c r="B576" s="400"/>
      <c r="C576" s="160"/>
      <c r="D576" s="160"/>
      <c r="E576" s="160"/>
      <c r="F576" s="160"/>
      <c r="G576" s="160"/>
      <c r="H576" s="160"/>
      <c r="I576" s="160"/>
      <c r="J576" s="160"/>
      <c r="K576" s="160"/>
      <c r="L576" s="160"/>
      <c r="M576" s="160"/>
    </row>
    <row r="577" spans="2:13">
      <c r="B577" s="400"/>
      <c r="C577" s="160"/>
      <c r="D577" s="160"/>
      <c r="E577" s="160"/>
      <c r="F577" s="160"/>
      <c r="G577" s="160"/>
      <c r="H577" s="160"/>
      <c r="I577" s="160"/>
      <c r="J577" s="160"/>
      <c r="K577" s="160"/>
      <c r="L577" s="160"/>
      <c r="M577" s="160"/>
    </row>
    <row r="578" spans="2:13">
      <c r="B578" s="400"/>
      <c r="C578" s="160"/>
      <c r="D578" s="160"/>
      <c r="E578" s="160"/>
      <c r="F578" s="160"/>
      <c r="G578" s="160"/>
      <c r="H578" s="160"/>
      <c r="I578" s="160"/>
      <c r="J578" s="160"/>
      <c r="K578" s="160"/>
      <c r="L578" s="160"/>
      <c r="M578" s="160"/>
    </row>
    <row r="579" spans="2:13">
      <c r="B579" s="400"/>
      <c r="C579" s="160"/>
      <c r="D579" s="160"/>
      <c r="E579" s="160"/>
      <c r="F579" s="160"/>
      <c r="G579" s="160"/>
      <c r="H579" s="160"/>
      <c r="I579" s="160"/>
      <c r="J579" s="160"/>
      <c r="K579" s="160"/>
      <c r="L579" s="160"/>
      <c r="M579" s="160"/>
    </row>
    <row r="580" spans="2:13">
      <c r="B580" s="400"/>
      <c r="C580" s="160"/>
      <c r="D580" s="160"/>
      <c r="E580" s="160"/>
      <c r="F580" s="160"/>
      <c r="G580" s="160"/>
      <c r="H580" s="160"/>
      <c r="I580" s="160"/>
      <c r="J580" s="160"/>
      <c r="K580" s="160"/>
      <c r="L580" s="160"/>
      <c r="M580" s="160"/>
    </row>
    <row r="581" spans="2:13">
      <c r="B581" s="400"/>
      <c r="C581" s="160"/>
      <c r="D581" s="160"/>
      <c r="E581" s="160"/>
      <c r="F581" s="160"/>
      <c r="G581" s="160"/>
      <c r="H581" s="160"/>
      <c r="I581" s="160"/>
      <c r="J581" s="160"/>
      <c r="K581" s="160"/>
      <c r="L581" s="160"/>
      <c r="M581" s="160"/>
    </row>
    <row r="582" spans="2:13">
      <c r="B582" s="400"/>
      <c r="C582" s="160"/>
      <c r="D582" s="160"/>
      <c r="E582" s="160"/>
      <c r="F582" s="160"/>
      <c r="G582" s="160"/>
      <c r="H582" s="160"/>
      <c r="I582" s="160"/>
      <c r="J582" s="160"/>
      <c r="K582" s="160"/>
      <c r="L582" s="160"/>
      <c r="M582" s="160"/>
    </row>
    <row r="583" spans="2:13">
      <c r="B583" s="400"/>
      <c r="C583" s="160"/>
      <c r="D583" s="160"/>
      <c r="E583" s="160"/>
      <c r="F583" s="160"/>
      <c r="G583" s="160"/>
      <c r="H583" s="160"/>
      <c r="I583" s="160"/>
      <c r="J583" s="160"/>
      <c r="K583" s="160"/>
      <c r="L583" s="160"/>
      <c r="M583" s="160"/>
    </row>
    <row r="584" spans="2:13">
      <c r="B584" s="400"/>
      <c r="C584" s="160"/>
      <c r="D584" s="160"/>
      <c r="E584" s="160"/>
      <c r="F584" s="160"/>
      <c r="G584" s="160"/>
      <c r="H584" s="160"/>
      <c r="I584" s="160"/>
      <c r="J584" s="160"/>
      <c r="K584" s="160"/>
      <c r="L584" s="160"/>
      <c r="M584" s="160"/>
    </row>
    <row r="585" spans="2:13">
      <c r="B585" s="400"/>
      <c r="C585" s="160"/>
      <c r="D585" s="160"/>
      <c r="E585" s="160"/>
      <c r="F585" s="160"/>
      <c r="G585" s="160"/>
      <c r="H585" s="160"/>
      <c r="I585" s="160"/>
      <c r="J585" s="160"/>
      <c r="K585" s="160"/>
      <c r="L585" s="160"/>
      <c r="M585" s="160"/>
    </row>
    <row r="586" spans="2:13">
      <c r="B586" s="400"/>
      <c r="C586" s="160"/>
      <c r="D586" s="160"/>
      <c r="E586" s="160"/>
      <c r="F586" s="160"/>
      <c r="G586" s="160"/>
      <c r="H586" s="160"/>
      <c r="I586" s="160"/>
      <c r="J586" s="160"/>
      <c r="K586" s="160"/>
      <c r="L586" s="160"/>
      <c r="M586" s="160"/>
    </row>
    <row r="587" spans="2:13">
      <c r="B587" s="400"/>
      <c r="C587" s="160"/>
      <c r="D587" s="160"/>
      <c r="E587" s="160"/>
      <c r="F587" s="160"/>
      <c r="G587" s="160"/>
      <c r="H587" s="160"/>
      <c r="I587" s="160"/>
      <c r="J587" s="160"/>
      <c r="K587" s="160"/>
      <c r="L587" s="160"/>
      <c r="M587" s="160"/>
    </row>
    <row r="588" spans="2:13">
      <c r="B588" s="400"/>
      <c r="C588" s="160"/>
      <c r="D588" s="160"/>
      <c r="E588" s="160"/>
      <c r="F588" s="160"/>
      <c r="G588" s="160"/>
      <c r="H588" s="160"/>
      <c r="I588" s="160"/>
      <c r="J588" s="160"/>
      <c r="K588" s="160"/>
      <c r="L588" s="160"/>
      <c r="M588" s="160"/>
    </row>
    <row r="589" spans="2:13">
      <c r="B589" s="400"/>
      <c r="C589" s="160"/>
      <c r="D589" s="160"/>
      <c r="E589" s="160"/>
      <c r="F589" s="160"/>
      <c r="G589" s="160"/>
      <c r="H589" s="160"/>
      <c r="I589" s="160"/>
      <c r="J589" s="160"/>
      <c r="K589" s="160"/>
      <c r="L589" s="160"/>
      <c r="M589" s="160"/>
    </row>
    <row r="590" spans="2:13">
      <c r="B590" s="400"/>
      <c r="C590" s="160"/>
      <c r="D590" s="160"/>
      <c r="E590" s="160"/>
      <c r="F590" s="160"/>
      <c r="G590" s="160"/>
      <c r="H590" s="160"/>
      <c r="I590" s="160"/>
      <c r="J590" s="160"/>
      <c r="K590" s="160"/>
      <c r="L590" s="160"/>
      <c r="M590" s="160"/>
    </row>
    <row r="591" spans="2:13">
      <c r="B591" s="400"/>
      <c r="C591" s="160"/>
      <c r="D591" s="160"/>
      <c r="E591" s="160"/>
      <c r="F591" s="160"/>
      <c r="G591" s="160"/>
      <c r="H591" s="160"/>
      <c r="I591" s="160"/>
      <c r="J591" s="160"/>
      <c r="K591" s="160"/>
      <c r="L591" s="160"/>
      <c r="M591" s="160"/>
    </row>
    <row r="592" spans="2:13">
      <c r="B592" s="400"/>
      <c r="C592" s="160"/>
      <c r="D592" s="160"/>
      <c r="E592" s="160"/>
      <c r="F592" s="160"/>
      <c r="G592" s="160"/>
      <c r="H592" s="160"/>
      <c r="I592" s="160"/>
      <c r="J592" s="160"/>
      <c r="K592" s="160"/>
      <c r="L592" s="160"/>
      <c r="M592" s="160"/>
    </row>
    <row r="593" spans="2:13">
      <c r="B593" s="400"/>
      <c r="C593" s="160"/>
      <c r="D593" s="160"/>
      <c r="E593" s="160"/>
      <c r="F593" s="160"/>
      <c r="G593" s="160"/>
      <c r="H593" s="160"/>
      <c r="I593" s="160"/>
      <c r="J593" s="160"/>
      <c r="K593" s="160"/>
      <c r="L593" s="160"/>
      <c r="M593" s="160"/>
    </row>
    <row r="594" spans="2:13">
      <c r="B594" s="400"/>
      <c r="C594" s="160"/>
      <c r="D594" s="160"/>
      <c r="E594" s="160"/>
      <c r="F594" s="160"/>
      <c r="G594" s="160"/>
      <c r="H594" s="160"/>
      <c r="I594" s="160"/>
      <c r="J594" s="160"/>
      <c r="K594" s="160"/>
      <c r="L594" s="160"/>
      <c r="M594" s="160"/>
    </row>
    <row r="595" spans="2:13">
      <c r="B595" s="400"/>
      <c r="C595" s="160"/>
      <c r="D595" s="160"/>
      <c r="E595" s="160"/>
      <c r="F595" s="160"/>
      <c r="G595" s="160"/>
      <c r="H595" s="160"/>
      <c r="I595" s="160"/>
      <c r="J595" s="160"/>
      <c r="K595" s="160"/>
      <c r="L595" s="160"/>
      <c r="M595" s="160"/>
    </row>
    <row r="596" spans="2:13">
      <c r="B596" s="400"/>
      <c r="C596" s="160"/>
      <c r="D596" s="160"/>
      <c r="E596" s="160"/>
      <c r="F596" s="160"/>
      <c r="G596" s="160"/>
      <c r="H596" s="160"/>
      <c r="I596" s="160"/>
      <c r="J596" s="160"/>
      <c r="K596" s="160"/>
      <c r="L596" s="160"/>
      <c r="M596" s="160"/>
    </row>
    <row r="597" spans="2:13">
      <c r="B597" s="400"/>
      <c r="C597" s="160"/>
      <c r="D597" s="160"/>
      <c r="E597" s="160"/>
      <c r="F597" s="160"/>
      <c r="G597" s="160"/>
      <c r="H597" s="160"/>
      <c r="I597" s="160"/>
      <c r="J597" s="160"/>
      <c r="K597" s="160"/>
      <c r="L597" s="160"/>
      <c r="M597" s="160"/>
    </row>
    <row r="598" spans="2:13">
      <c r="B598" s="400"/>
      <c r="C598" s="160"/>
      <c r="D598" s="160"/>
      <c r="E598" s="160"/>
      <c r="F598" s="160"/>
      <c r="G598" s="160"/>
      <c r="H598" s="160"/>
      <c r="I598" s="160"/>
      <c r="J598" s="160"/>
      <c r="K598" s="160"/>
      <c r="L598" s="160"/>
      <c r="M598" s="160"/>
    </row>
    <row r="599" spans="2:13">
      <c r="B599" s="400"/>
      <c r="C599" s="160"/>
      <c r="D599" s="160"/>
      <c r="E599" s="160"/>
      <c r="F599" s="160"/>
      <c r="G599" s="160"/>
      <c r="H599" s="160"/>
      <c r="I599" s="160"/>
      <c r="J599" s="160"/>
      <c r="K599" s="160"/>
      <c r="L599" s="160"/>
      <c r="M599" s="160"/>
    </row>
    <row r="600" spans="2:13">
      <c r="B600" s="400"/>
      <c r="C600" s="160"/>
      <c r="D600" s="160"/>
      <c r="E600" s="160"/>
      <c r="F600" s="160"/>
      <c r="G600" s="160"/>
      <c r="H600" s="160"/>
      <c r="I600" s="160"/>
      <c r="J600" s="160"/>
      <c r="K600" s="160"/>
      <c r="L600" s="160"/>
      <c r="M600" s="160"/>
    </row>
    <row r="601" spans="2:13">
      <c r="B601" s="400"/>
      <c r="C601" s="160"/>
      <c r="D601" s="160"/>
      <c r="E601" s="160"/>
      <c r="F601" s="160"/>
      <c r="G601" s="160"/>
      <c r="H601" s="160"/>
      <c r="I601" s="160"/>
      <c r="J601" s="160"/>
      <c r="K601" s="160"/>
      <c r="L601" s="160"/>
      <c r="M601" s="160"/>
    </row>
    <row r="602" spans="2:13">
      <c r="B602" s="400"/>
      <c r="C602" s="160"/>
      <c r="D602" s="160"/>
      <c r="E602" s="160"/>
      <c r="F602" s="160"/>
      <c r="G602" s="160"/>
      <c r="H602" s="160"/>
      <c r="I602" s="160"/>
      <c r="J602" s="160"/>
      <c r="K602" s="160"/>
      <c r="L602" s="160"/>
      <c r="M602" s="160"/>
    </row>
    <row r="603" spans="2:13">
      <c r="B603" s="400"/>
      <c r="C603" s="160"/>
      <c r="D603" s="160"/>
      <c r="E603" s="160"/>
      <c r="F603" s="160"/>
      <c r="G603" s="160"/>
      <c r="H603" s="160"/>
      <c r="I603" s="160"/>
      <c r="J603" s="160"/>
      <c r="K603" s="160"/>
      <c r="L603" s="160"/>
      <c r="M603" s="160"/>
    </row>
    <row r="604" spans="2:13">
      <c r="B604" s="400"/>
      <c r="C604" s="160"/>
      <c r="D604" s="160"/>
      <c r="E604" s="160"/>
      <c r="F604" s="160"/>
      <c r="G604" s="160"/>
      <c r="H604" s="160"/>
      <c r="I604" s="160"/>
      <c r="J604" s="160"/>
      <c r="K604" s="160"/>
      <c r="L604" s="160"/>
      <c r="M604" s="160"/>
    </row>
    <row r="605" spans="2:13">
      <c r="B605" s="400"/>
      <c r="C605" s="160"/>
      <c r="D605" s="160"/>
      <c r="E605" s="160"/>
      <c r="F605" s="160"/>
      <c r="G605" s="160"/>
      <c r="H605" s="160"/>
      <c r="I605" s="160"/>
      <c r="J605" s="160"/>
      <c r="K605" s="160"/>
      <c r="L605" s="160"/>
      <c r="M605" s="160"/>
    </row>
    <row r="606" spans="2:13">
      <c r="B606" s="400"/>
      <c r="C606" s="160"/>
      <c r="D606" s="160"/>
      <c r="E606" s="160"/>
      <c r="F606" s="160"/>
      <c r="G606" s="160"/>
      <c r="H606" s="160"/>
      <c r="I606" s="160"/>
      <c r="J606" s="160"/>
      <c r="K606" s="160"/>
      <c r="L606" s="160"/>
      <c r="M606" s="160"/>
    </row>
    <row r="607" spans="2:13">
      <c r="B607" s="400"/>
      <c r="C607" s="160"/>
      <c r="D607" s="160"/>
      <c r="E607" s="160"/>
      <c r="F607" s="160"/>
      <c r="G607" s="160"/>
      <c r="H607" s="160"/>
      <c r="I607" s="160"/>
      <c r="J607" s="160"/>
      <c r="K607" s="160"/>
      <c r="L607" s="160"/>
      <c r="M607" s="160"/>
    </row>
    <row r="608" spans="2:13">
      <c r="B608" s="400"/>
      <c r="C608" s="160"/>
      <c r="D608" s="160"/>
      <c r="E608" s="160"/>
      <c r="F608" s="160"/>
      <c r="G608" s="160"/>
      <c r="H608" s="160"/>
      <c r="I608" s="160"/>
      <c r="J608" s="160"/>
      <c r="K608" s="160"/>
      <c r="L608" s="160"/>
      <c r="M608" s="160"/>
    </row>
    <row r="609" spans="2:13">
      <c r="B609" s="400"/>
      <c r="C609" s="160"/>
      <c r="D609" s="160"/>
      <c r="E609" s="160"/>
      <c r="F609" s="160"/>
      <c r="G609" s="160"/>
      <c r="H609" s="160"/>
      <c r="I609" s="160"/>
      <c r="J609" s="160"/>
      <c r="K609" s="160"/>
      <c r="L609" s="160"/>
      <c r="M609" s="160"/>
    </row>
    <row r="610" spans="2:13">
      <c r="B610" s="400"/>
      <c r="C610" s="160"/>
      <c r="D610" s="160"/>
      <c r="E610" s="160"/>
      <c r="F610" s="160"/>
      <c r="G610" s="160"/>
      <c r="H610" s="160"/>
      <c r="I610" s="160"/>
      <c r="J610" s="160"/>
      <c r="K610" s="160"/>
      <c r="L610" s="160"/>
      <c r="M610" s="160"/>
    </row>
    <row r="611" spans="2:13">
      <c r="B611" s="400"/>
      <c r="C611" s="160"/>
      <c r="D611" s="160"/>
      <c r="E611" s="160"/>
      <c r="F611" s="160"/>
      <c r="G611" s="160"/>
      <c r="H611" s="160"/>
      <c r="I611" s="160"/>
      <c r="J611" s="160"/>
      <c r="K611" s="160"/>
      <c r="L611" s="160"/>
      <c r="M611" s="160"/>
    </row>
    <row r="612" spans="2:13">
      <c r="B612" s="400"/>
      <c r="C612" s="160"/>
      <c r="D612" s="160"/>
      <c r="E612" s="160"/>
      <c r="F612" s="160"/>
      <c r="G612" s="160"/>
      <c r="H612" s="160"/>
      <c r="I612" s="160"/>
      <c r="J612" s="160"/>
      <c r="K612" s="160"/>
      <c r="L612" s="160"/>
      <c r="M612" s="160"/>
    </row>
    <row r="613" spans="2:13">
      <c r="B613" s="400"/>
      <c r="C613" s="160"/>
      <c r="D613" s="160"/>
      <c r="E613" s="160"/>
      <c r="F613" s="160"/>
      <c r="G613" s="160"/>
      <c r="H613" s="160"/>
      <c r="I613" s="160"/>
      <c r="J613" s="160"/>
      <c r="K613" s="160"/>
      <c r="L613" s="160"/>
      <c r="M613" s="160"/>
    </row>
    <row r="614" spans="2:13">
      <c r="B614" s="400"/>
      <c r="C614" s="160"/>
      <c r="D614" s="160"/>
      <c r="E614" s="160"/>
      <c r="F614" s="160"/>
      <c r="G614" s="160"/>
      <c r="H614" s="160"/>
      <c r="I614" s="160"/>
      <c r="J614" s="160"/>
      <c r="K614" s="160"/>
      <c r="L614" s="160"/>
      <c r="M614" s="160"/>
    </row>
    <row r="615" spans="2:13">
      <c r="B615" s="400"/>
      <c r="C615" s="160"/>
      <c r="D615" s="160"/>
      <c r="E615" s="160"/>
      <c r="F615" s="160"/>
      <c r="G615" s="160"/>
      <c r="H615" s="160"/>
      <c r="I615" s="160"/>
      <c r="J615" s="160"/>
      <c r="K615" s="160"/>
      <c r="L615" s="160"/>
      <c r="M615" s="160"/>
    </row>
    <row r="616" spans="2:13">
      <c r="B616" s="400"/>
      <c r="C616" s="160"/>
      <c r="D616" s="160"/>
      <c r="E616" s="160"/>
      <c r="F616" s="160"/>
      <c r="G616" s="160"/>
      <c r="H616" s="160"/>
      <c r="I616" s="160"/>
      <c r="J616" s="160"/>
      <c r="K616" s="160"/>
      <c r="L616" s="160"/>
      <c r="M616" s="160"/>
    </row>
    <row r="617" spans="2:13">
      <c r="B617" s="400"/>
      <c r="C617" s="160"/>
      <c r="D617" s="160"/>
      <c r="E617" s="160"/>
      <c r="F617" s="160"/>
      <c r="G617" s="160"/>
      <c r="H617" s="160"/>
      <c r="I617" s="160"/>
      <c r="J617" s="160"/>
      <c r="K617" s="160"/>
      <c r="L617" s="160"/>
      <c r="M617" s="160"/>
    </row>
    <row r="618" spans="2:13">
      <c r="B618" s="400"/>
      <c r="C618" s="160"/>
      <c r="D618" s="160"/>
      <c r="E618" s="160"/>
      <c r="F618" s="160"/>
      <c r="G618" s="160"/>
      <c r="H618" s="160"/>
      <c r="I618" s="160"/>
      <c r="J618" s="160"/>
      <c r="K618" s="160"/>
      <c r="L618" s="160"/>
      <c r="M618" s="160"/>
    </row>
    <row r="619" spans="2:13">
      <c r="B619" s="400"/>
      <c r="C619" s="160"/>
      <c r="D619" s="160"/>
      <c r="E619" s="160"/>
      <c r="F619" s="160"/>
      <c r="G619" s="160"/>
      <c r="H619" s="160"/>
      <c r="I619" s="160"/>
      <c r="J619" s="160"/>
      <c r="K619" s="160"/>
      <c r="L619" s="160"/>
      <c r="M619" s="160"/>
    </row>
    <row r="620" spans="2:13">
      <c r="B620" s="400"/>
      <c r="C620" s="160"/>
      <c r="D620" s="160"/>
      <c r="E620" s="160"/>
      <c r="F620" s="160"/>
      <c r="G620" s="160"/>
      <c r="H620" s="160"/>
      <c r="I620" s="160"/>
      <c r="J620" s="160"/>
      <c r="K620" s="160"/>
      <c r="L620" s="160"/>
      <c r="M620" s="160"/>
    </row>
    <row r="621" spans="2:13">
      <c r="B621" s="400"/>
      <c r="C621" s="160"/>
      <c r="D621" s="160"/>
      <c r="E621" s="160"/>
      <c r="F621" s="160"/>
      <c r="G621" s="160"/>
      <c r="H621" s="160"/>
      <c r="I621" s="160"/>
      <c r="J621" s="160"/>
      <c r="K621" s="160"/>
      <c r="L621" s="160"/>
      <c r="M621" s="160"/>
    </row>
    <row r="622" spans="2:13">
      <c r="B622" s="400"/>
      <c r="C622" s="160"/>
      <c r="D622" s="160"/>
      <c r="E622" s="160"/>
      <c r="F622" s="160"/>
      <c r="G622" s="160"/>
      <c r="H622" s="160"/>
      <c r="I622" s="160"/>
      <c r="J622" s="160"/>
      <c r="K622" s="160"/>
      <c r="L622" s="160"/>
      <c r="M622" s="160"/>
    </row>
    <row r="623" spans="2:13">
      <c r="B623" s="400"/>
      <c r="C623" s="160"/>
      <c r="D623" s="160"/>
      <c r="E623" s="160"/>
      <c r="F623" s="160"/>
      <c r="G623" s="160"/>
      <c r="H623" s="160"/>
      <c r="I623" s="160"/>
      <c r="J623" s="160"/>
      <c r="K623" s="160"/>
      <c r="L623" s="160"/>
      <c r="M623" s="160"/>
    </row>
    <row r="624" spans="2:13">
      <c r="B624" s="400"/>
      <c r="C624" s="160"/>
      <c r="D624" s="160"/>
      <c r="E624" s="160"/>
      <c r="F624" s="160"/>
      <c r="G624" s="160"/>
      <c r="H624" s="160"/>
      <c r="I624" s="160"/>
      <c r="J624" s="160"/>
      <c r="K624" s="160"/>
      <c r="L624" s="160"/>
      <c r="M624" s="160"/>
    </row>
    <row r="625" spans="2:13">
      <c r="B625" s="400"/>
      <c r="C625" s="160"/>
      <c r="D625" s="160"/>
      <c r="E625" s="160"/>
      <c r="F625" s="160"/>
      <c r="G625" s="160"/>
      <c r="H625" s="160"/>
      <c r="I625" s="160"/>
      <c r="J625" s="160"/>
      <c r="K625" s="160"/>
      <c r="L625" s="160"/>
      <c r="M625" s="160"/>
    </row>
    <row r="626" spans="2:13">
      <c r="B626" s="400"/>
      <c r="C626" s="160"/>
      <c r="D626" s="160"/>
      <c r="E626" s="160"/>
      <c r="F626" s="160"/>
      <c r="G626" s="160"/>
      <c r="H626" s="160"/>
      <c r="I626" s="160"/>
      <c r="J626" s="160"/>
      <c r="K626" s="160"/>
      <c r="L626" s="160"/>
      <c r="M626" s="160"/>
    </row>
    <row r="627" spans="2:13">
      <c r="B627" s="400"/>
      <c r="C627" s="160"/>
      <c r="D627" s="160"/>
      <c r="E627" s="160"/>
      <c r="F627" s="160"/>
      <c r="G627" s="160"/>
      <c r="H627" s="160"/>
      <c r="I627" s="160"/>
      <c r="J627" s="160"/>
      <c r="K627" s="160"/>
      <c r="L627" s="160"/>
      <c r="M627" s="160"/>
    </row>
    <row r="628" spans="2:13">
      <c r="B628" s="400"/>
      <c r="C628" s="160"/>
      <c r="D628" s="160"/>
      <c r="E628" s="160"/>
      <c r="F628" s="160"/>
      <c r="G628" s="160"/>
      <c r="H628" s="160"/>
      <c r="I628" s="160"/>
      <c r="J628" s="160"/>
      <c r="K628" s="160"/>
      <c r="L628" s="160"/>
      <c r="M628" s="160"/>
    </row>
    <row r="629" spans="2:13">
      <c r="B629" s="400"/>
      <c r="C629" s="160"/>
      <c r="D629" s="160"/>
      <c r="E629" s="160"/>
      <c r="F629" s="160"/>
      <c r="G629" s="160"/>
      <c r="H629" s="160"/>
      <c r="I629" s="160"/>
      <c r="J629" s="160"/>
      <c r="K629" s="160"/>
      <c r="L629" s="160"/>
      <c r="M629" s="160"/>
    </row>
    <row r="630" spans="2:13">
      <c r="B630" s="400"/>
      <c r="C630" s="160"/>
      <c r="D630" s="160"/>
      <c r="E630" s="160"/>
      <c r="F630" s="160"/>
      <c r="G630" s="160"/>
      <c r="H630" s="160"/>
      <c r="I630" s="160"/>
      <c r="J630" s="160"/>
      <c r="K630" s="160"/>
      <c r="L630" s="160"/>
      <c r="M630" s="160"/>
    </row>
    <row r="631" spans="2:13">
      <c r="B631" s="400"/>
      <c r="C631" s="160"/>
      <c r="D631" s="160"/>
      <c r="E631" s="160"/>
      <c r="F631" s="160"/>
      <c r="G631" s="160"/>
      <c r="H631" s="160"/>
      <c r="I631" s="160"/>
      <c r="J631" s="160"/>
      <c r="K631" s="160"/>
      <c r="L631" s="160"/>
      <c r="M631" s="160"/>
    </row>
    <row r="632" spans="2:13">
      <c r="B632" s="400"/>
      <c r="C632" s="160"/>
      <c r="D632" s="160"/>
      <c r="E632" s="160"/>
      <c r="F632" s="160"/>
      <c r="G632" s="160"/>
      <c r="H632" s="160"/>
      <c r="I632" s="160"/>
      <c r="J632" s="160"/>
      <c r="K632" s="160"/>
      <c r="L632" s="160"/>
      <c r="M632" s="160"/>
    </row>
    <row r="633" spans="2:13">
      <c r="B633" s="400"/>
      <c r="C633" s="160"/>
      <c r="D633" s="160"/>
      <c r="E633" s="160"/>
      <c r="F633" s="160"/>
      <c r="G633" s="160"/>
      <c r="H633" s="160"/>
      <c r="I633" s="160"/>
      <c r="J633" s="160"/>
      <c r="K633" s="160"/>
      <c r="L633" s="160"/>
      <c r="M633" s="160"/>
    </row>
    <row r="634" spans="2:13">
      <c r="B634" s="400"/>
      <c r="C634" s="160"/>
      <c r="D634" s="160"/>
      <c r="E634" s="160"/>
      <c r="F634" s="160"/>
      <c r="G634" s="160"/>
      <c r="H634" s="160"/>
      <c r="I634" s="160"/>
      <c r="J634" s="160"/>
      <c r="K634" s="160"/>
      <c r="L634" s="160"/>
      <c r="M634" s="160"/>
    </row>
    <row r="635" spans="2:13">
      <c r="B635" s="400"/>
      <c r="C635" s="160"/>
      <c r="D635" s="160"/>
      <c r="E635" s="160"/>
      <c r="F635" s="160"/>
      <c r="G635" s="160"/>
      <c r="H635" s="160"/>
      <c r="I635" s="160"/>
      <c r="J635" s="160"/>
      <c r="K635" s="160"/>
      <c r="L635" s="160"/>
      <c r="M635" s="160"/>
    </row>
    <row r="636" spans="2:13">
      <c r="B636" s="400"/>
      <c r="C636" s="160"/>
      <c r="D636" s="160"/>
      <c r="E636" s="160"/>
      <c r="F636" s="160"/>
      <c r="G636" s="160"/>
      <c r="H636" s="160"/>
      <c r="I636" s="160"/>
      <c r="J636" s="160"/>
      <c r="K636" s="160"/>
      <c r="L636" s="160"/>
      <c r="M636" s="160"/>
    </row>
    <row r="637" spans="2:13">
      <c r="B637" s="400"/>
      <c r="C637" s="160"/>
      <c r="D637" s="160"/>
      <c r="E637" s="160"/>
      <c r="F637" s="160"/>
      <c r="G637" s="160"/>
      <c r="H637" s="160"/>
      <c r="I637" s="160"/>
      <c r="J637" s="160"/>
      <c r="K637" s="160"/>
      <c r="L637" s="160"/>
      <c r="M637" s="160"/>
    </row>
    <row r="638" spans="2:13">
      <c r="B638" s="400"/>
      <c r="C638" s="160"/>
      <c r="D638" s="160"/>
      <c r="E638" s="160"/>
      <c r="F638" s="160"/>
      <c r="G638" s="160"/>
      <c r="H638" s="160"/>
      <c r="I638" s="160"/>
      <c r="J638" s="160"/>
      <c r="K638" s="160"/>
      <c r="L638" s="160"/>
      <c r="M638" s="160"/>
    </row>
    <row r="639" spans="2:13">
      <c r="B639" s="400"/>
      <c r="C639" s="160"/>
      <c r="D639" s="160"/>
      <c r="E639" s="160"/>
      <c r="F639" s="160"/>
      <c r="G639" s="160"/>
      <c r="H639" s="160"/>
      <c r="I639" s="160"/>
      <c r="J639" s="160"/>
      <c r="K639" s="160"/>
      <c r="L639" s="160"/>
      <c r="M639" s="160"/>
    </row>
    <row r="640" spans="2:13">
      <c r="B640" s="400"/>
      <c r="C640" s="160"/>
      <c r="D640" s="160"/>
      <c r="E640" s="160"/>
      <c r="F640" s="160"/>
      <c r="G640" s="160"/>
      <c r="H640" s="160"/>
      <c r="I640" s="160"/>
      <c r="J640" s="160"/>
      <c r="K640" s="160"/>
      <c r="L640" s="160"/>
      <c r="M640" s="160"/>
    </row>
    <row r="641" spans="2:13">
      <c r="B641" s="400"/>
      <c r="C641" s="160"/>
      <c r="D641" s="160"/>
      <c r="E641" s="160"/>
      <c r="F641" s="160"/>
      <c r="G641" s="160"/>
      <c r="H641" s="160"/>
      <c r="I641" s="160"/>
      <c r="J641" s="160"/>
      <c r="K641" s="160"/>
      <c r="L641" s="160"/>
      <c r="M641" s="160"/>
    </row>
    <row r="642" spans="2:13">
      <c r="B642" s="400"/>
      <c r="C642" s="160"/>
      <c r="D642" s="160"/>
      <c r="E642" s="160"/>
      <c r="F642" s="160"/>
      <c r="G642" s="160"/>
      <c r="H642" s="160"/>
      <c r="I642" s="160"/>
      <c r="J642" s="160"/>
      <c r="K642" s="160"/>
      <c r="L642" s="160"/>
      <c r="M642" s="160"/>
    </row>
    <row r="643" spans="2:13">
      <c r="B643" s="400"/>
      <c r="C643" s="160"/>
      <c r="D643" s="160"/>
      <c r="E643" s="160"/>
      <c r="F643" s="160"/>
      <c r="G643" s="160"/>
      <c r="H643" s="160"/>
      <c r="I643" s="160"/>
      <c r="J643" s="160"/>
      <c r="K643" s="160"/>
      <c r="L643" s="160"/>
      <c r="M643" s="160"/>
    </row>
    <row r="644" spans="2:13">
      <c r="B644" s="400"/>
      <c r="C644" s="160"/>
      <c r="D644" s="160"/>
      <c r="E644" s="160"/>
      <c r="F644" s="160"/>
      <c r="G644" s="160"/>
      <c r="H644" s="160"/>
      <c r="I644" s="160"/>
      <c r="J644" s="160"/>
      <c r="K644" s="160"/>
      <c r="L644" s="160"/>
      <c r="M644" s="160"/>
    </row>
    <row r="645" spans="2:13">
      <c r="B645" s="400"/>
      <c r="C645" s="160"/>
      <c r="D645" s="160"/>
      <c r="E645" s="160"/>
      <c r="F645" s="160"/>
      <c r="G645" s="160"/>
      <c r="H645" s="160"/>
      <c r="I645" s="160"/>
      <c r="J645" s="160"/>
      <c r="K645" s="160"/>
      <c r="L645" s="160"/>
      <c r="M645" s="160"/>
    </row>
    <row r="646" spans="2:13">
      <c r="B646" s="400"/>
      <c r="C646" s="160"/>
      <c r="D646" s="160"/>
      <c r="E646" s="160"/>
      <c r="F646" s="160"/>
      <c r="G646" s="160"/>
      <c r="H646" s="160"/>
      <c r="I646" s="160"/>
      <c r="J646" s="160"/>
      <c r="K646" s="160"/>
      <c r="L646" s="160"/>
      <c r="M646" s="160"/>
    </row>
    <row r="647" spans="2:13">
      <c r="B647" s="400"/>
      <c r="C647" s="160"/>
      <c r="D647" s="160"/>
      <c r="E647" s="160"/>
      <c r="F647" s="160"/>
      <c r="G647" s="160"/>
      <c r="H647" s="160"/>
      <c r="I647" s="160"/>
      <c r="J647" s="160"/>
      <c r="K647" s="160"/>
      <c r="L647" s="160"/>
      <c r="M647" s="160"/>
    </row>
    <row r="648" spans="2:13">
      <c r="B648" s="400"/>
      <c r="C648" s="160"/>
      <c r="D648" s="160"/>
      <c r="E648" s="160"/>
      <c r="F648" s="160"/>
      <c r="G648" s="160"/>
      <c r="H648" s="160"/>
      <c r="I648" s="160"/>
      <c r="J648" s="160"/>
      <c r="K648" s="160"/>
      <c r="L648" s="160"/>
      <c r="M648" s="160"/>
    </row>
    <row r="649" spans="2:13">
      <c r="B649" s="400"/>
      <c r="C649" s="160"/>
      <c r="D649" s="160"/>
      <c r="E649" s="160"/>
      <c r="F649" s="160"/>
      <c r="G649" s="160"/>
      <c r="H649" s="160"/>
      <c r="I649" s="160"/>
      <c r="J649" s="160"/>
      <c r="K649" s="160"/>
      <c r="L649" s="160"/>
      <c r="M649" s="160"/>
    </row>
    <row r="650" spans="2:13">
      <c r="B650" s="400"/>
      <c r="C650" s="160"/>
      <c r="D650" s="160"/>
      <c r="E650" s="160"/>
      <c r="F650" s="160"/>
      <c r="G650" s="160"/>
      <c r="H650" s="160"/>
      <c r="I650" s="160"/>
      <c r="J650" s="160"/>
      <c r="K650" s="160"/>
      <c r="L650" s="160"/>
      <c r="M650" s="160"/>
    </row>
    <row r="651" spans="2:13">
      <c r="B651" s="400"/>
      <c r="C651" s="160"/>
      <c r="D651" s="160"/>
      <c r="E651" s="160"/>
      <c r="F651" s="160"/>
      <c r="G651" s="160"/>
      <c r="H651" s="160"/>
      <c r="I651" s="160"/>
      <c r="J651" s="160"/>
      <c r="K651" s="160"/>
      <c r="L651" s="160"/>
      <c r="M651" s="160"/>
    </row>
    <row r="652" spans="2:13">
      <c r="B652" s="400"/>
      <c r="C652" s="160"/>
      <c r="D652" s="160"/>
      <c r="E652" s="160"/>
      <c r="F652" s="160"/>
      <c r="G652" s="160"/>
      <c r="H652" s="160"/>
      <c r="I652" s="160"/>
      <c r="J652" s="160"/>
      <c r="K652" s="160"/>
      <c r="L652" s="160"/>
      <c r="M652" s="160"/>
    </row>
    <row r="653" spans="2:13">
      <c r="B653" s="400"/>
      <c r="C653" s="160"/>
      <c r="D653" s="160"/>
      <c r="E653" s="160"/>
      <c r="F653" s="160"/>
      <c r="G653" s="160"/>
      <c r="H653" s="160"/>
      <c r="I653" s="160"/>
      <c r="J653" s="160"/>
      <c r="K653" s="160"/>
      <c r="L653" s="160"/>
      <c r="M653" s="160"/>
    </row>
    <row r="654" spans="2:13">
      <c r="B654" s="400"/>
      <c r="C654" s="160"/>
      <c r="D654" s="160"/>
      <c r="E654" s="160"/>
      <c r="F654" s="160"/>
      <c r="G654" s="160"/>
      <c r="H654" s="160"/>
      <c r="I654" s="160"/>
      <c r="J654" s="160"/>
      <c r="K654" s="160"/>
      <c r="L654" s="160"/>
      <c r="M654" s="160"/>
    </row>
    <row r="655" spans="2:13">
      <c r="B655" s="400"/>
      <c r="C655" s="160"/>
      <c r="D655" s="160"/>
      <c r="E655" s="160"/>
      <c r="F655" s="160"/>
      <c r="G655" s="160"/>
      <c r="H655" s="160"/>
      <c r="I655" s="160"/>
      <c r="J655" s="160"/>
      <c r="K655" s="160"/>
      <c r="L655" s="160"/>
      <c r="M655" s="160"/>
    </row>
    <row r="656" spans="2:13">
      <c r="B656" s="400"/>
      <c r="C656" s="160"/>
      <c r="D656" s="160"/>
      <c r="E656" s="160"/>
      <c r="F656" s="160"/>
      <c r="G656" s="160"/>
      <c r="H656" s="160"/>
      <c r="I656" s="160"/>
      <c r="J656" s="160"/>
      <c r="K656" s="160"/>
      <c r="L656" s="160"/>
      <c r="M656" s="160"/>
    </row>
    <row r="657" spans="2:13">
      <c r="B657" s="400"/>
      <c r="C657" s="160"/>
      <c r="D657" s="160"/>
      <c r="E657" s="160"/>
      <c r="F657" s="160"/>
      <c r="G657" s="160"/>
      <c r="H657" s="160"/>
      <c r="I657" s="160"/>
      <c r="J657" s="160"/>
      <c r="K657" s="160"/>
      <c r="L657" s="160"/>
      <c r="M657" s="160"/>
    </row>
    <row r="658" spans="2:13">
      <c r="B658" s="400"/>
      <c r="C658" s="160"/>
      <c r="D658" s="160"/>
      <c r="E658" s="160"/>
      <c r="F658" s="160"/>
      <c r="G658" s="160"/>
      <c r="H658" s="160"/>
      <c r="I658" s="160"/>
      <c r="J658" s="160"/>
      <c r="K658" s="160"/>
      <c r="L658" s="160"/>
      <c r="M658" s="160"/>
    </row>
    <row r="659" spans="2:13">
      <c r="B659" s="400"/>
      <c r="C659" s="160"/>
      <c r="D659" s="160"/>
      <c r="E659" s="160"/>
      <c r="F659" s="160"/>
      <c r="G659" s="160"/>
      <c r="H659" s="160"/>
      <c r="I659" s="160"/>
      <c r="J659" s="160"/>
      <c r="K659" s="160"/>
      <c r="L659" s="160"/>
      <c r="M659" s="160"/>
    </row>
    <row r="660" spans="2:13">
      <c r="B660" s="400"/>
      <c r="C660" s="160"/>
      <c r="D660" s="160"/>
      <c r="E660" s="160"/>
      <c r="F660" s="160"/>
      <c r="G660" s="160"/>
      <c r="H660" s="160"/>
      <c r="I660" s="160"/>
      <c r="J660" s="160"/>
      <c r="K660" s="160"/>
      <c r="L660" s="160"/>
      <c r="M660" s="160"/>
    </row>
    <row r="661" spans="2:13">
      <c r="B661" s="400"/>
      <c r="C661" s="160"/>
      <c r="D661" s="160"/>
      <c r="E661" s="160"/>
      <c r="F661" s="160"/>
      <c r="G661" s="160"/>
      <c r="H661" s="160"/>
      <c r="I661" s="160"/>
      <c r="J661" s="160"/>
      <c r="K661" s="160"/>
      <c r="L661" s="160"/>
      <c r="M661" s="160"/>
    </row>
    <row r="662" spans="2:13">
      <c r="B662" s="400"/>
      <c r="C662" s="160"/>
      <c r="D662" s="160"/>
      <c r="E662" s="160"/>
      <c r="F662" s="160"/>
      <c r="G662" s="160"/>
      <c r="H662" s="160"/>
      <c r="I662" s="160"/>
      <c r="J662" s="160"/>
      <c r="K662" s="160"/>
      <c r="L662" s="160"/>
      <c r="M662" s="160"/>
    </row>
    <row r="663" spans="2:13">
      <c r="B663" s="400"/>
      <c r="C663" s="160"/>
      <c r="D663" s="160"/>
      <c r="E663" s="160"/>
      <c r="F663" s="160"/>
      <c r="G663" s="160"/>
      <c r="H663" s="160"/>
      <c r="I663" s="160"/>
      <c r="J663" s="160"/>
      <c r="K663" s="160"/>
      <c r="L663" s="160"/>
      <c r="M663" s="160"/>
    </row>
    <row r="664" spans="2:13">
      <c r="B664" s="400"/>
      <c r="C664" s="160"/>
      <c r="D664" s="160"/>
      <c r="E664" s="160"/>
      <c r="F664" s="160"/>
      <c r="G664" s="160"/>
      <c r="H664" s="160"/>
      <c r="I664" s="160"/>
      <c r="J664" s="160"/>
      <c r="K664" s="160"/>
      <c r="L664" s="160"/>
      <c r="M664" s="160"/>
    </row>
    <row r="665" spans="2:13">
      <c r="B665" s="400"/>
      <c r="C665" s="160"/>
      <c r="D665" s="160"/>
      <c r="E665" s="160"/>
      <c r="F665" s="160"/>
      <c r="G665" s="160"/>
      <c r="H665" s="160"/>
      <c r="I665" s="160"/>
      <c r="J665" s="160"/>
      <c r="K665" s="160"/>
      <c r="L665" s="160"/>
      <c r="M665" s="160"/>
    </row>
    <row r="666" spans="2:13">
      <c r="B666" s="400"/>
      <c r="C666" s="160"/>
      <c r="D666" s="160"/>
      <c r="E666" s="160"/>
      <c r="F666" s="160"/>
      <c r="G666" s="160"/>
      <c r="H666" s="160"/>
      <c r="I666" s="160"/>
      <c r="J666" s="160"/>
      <c r="K666" s="160"/>
      <c r="L666" s="160"/>
      <c r="M666" s="160"/>
    </row>
    <row r="667" spans="2:13">
      <c r="B667" s="400"/>
      <c r="C667" s="160"/>
      <c r="D667" s="160"/>
      <c r="E667" s="160"/>
      <c r="F667" s="160"/>
      <c r="G667" s="160"/>
      <c r="H667" s="160"/>
      <c r="I667" s="160"/>
      <c r="J667" s="160"/>
      <c r="K667" s="160"/>
      <c r="L667" s="160"/>
      <c r="M667" s="160"/>
    </row>
    <row r="668" spans="2:13">
      <c r="B668" s="400"/>
      <c r="C668" s="160"/>
      <c r="D668" s="160"/>
      <c r="E668" s="160"/>
      <c r="F668" s="160"/>
      <c r="G668" s="160"/>
      <c r="H668" s="160"/>
      <c r="I668" s="160"/>
      <c r="J668" s="160"/>
      <c r="K668" s="160"/>
      <c r="L668" s="160"/>
      <c r="M668" s="160"/>
    </row>
    <row r="669" spans="2:13">
      <c r="B669" s="400"/>
      <c r="C669" s="160"/>
      <c r="D669" s="160"/>
      <c r="E669" s="160"/>
      <c r="F669" s="160"/>
      <c r="G669" s="160"/>
      <c r="H669" s="160"/>
      <c r="I669" s="160"/>
      <c r="J669" s="160"/>
      <c r="K669" s="160"/>
      <c r="L669" s="160"/>
      <c r="M669" s="160"/>
    </row>
    <row r="670" spans="2:13">
      <c r="B670" s="400"/>
      <c r="C670" s="160"/>
      <c r="D670" s="160"/>
      <c r="E670" s="160"/>
      <c r="F670" s="160"/>
      <c r="G670" s="160"/>
      <c r="H670" s="160"/>
      <c r="I670" s="160"/>
      <c r="J670" s="160"/>
      <c r="K670" s="160"/>
      <c r="L670" s="160"/>
      <c r="M670" s="160"/>
    </row>
    <row r="671" spans="2:13">
      <c r="B671" s="400"/>
      <c r="C671" s="160"/>
      <c r="D671" s="160"/>
      <c r="E671" s="160"/>
      <c r="F671" s="160"/>
      <c r="G671" s="160"/>
      <c r="H671" s="160"/>
      <c r="I671" s="160"/>
      <c r="J671" s="160"/>
      <c r="K671" s="160"/>
      <c r="L671" s="160"/>
      <c r="M671" s="160"/>
    </row>
    <row r="672" spans="2:13">
      <c r="B672" s="400"/>
      <c r="C672" s="160"/>
      <c r="D672" s="160"/>
      <c r="E672" s="160"/>
      <c r="F672" s="160"/>
      <c r="G672" s="160"/>
      <c r="H672" s="160"/>
      <c r="I672" s="160"/>
      <c r="J672" s="160"/>
      <c r="K672" s="160"/>
      <c r="L672" s="160"/>
      <c r="M672" s="160"/>
    </row>
    <row r="673" spans="2:13">
      <c r="B673" s="400"/>
      <c r="C673" s="160"/>
      <c r="D673" s="160"/>
      <c r="E673" s="160"/>
      <c r="F673" s="160"/>
      <c r="G673" s="160"/>
      <c r="H673" s="160"/>
      <c r="I673" s="160"/>
      <c r="J673" s="160"/>
      <c r="K673" s="160"/>
      <c r="L673" s="160"/>
      <c r="M673" s="160"/>
    </row>
    <row r="674" spans="2:13">
      <c r="B674" s="400"/>
      <c r="C674" s="160"/>
      <c r="D674" s="160"/>
      <c r="E674" s="160"/>
      <c r="F674" s="160"/>
      <c r="G674" s="160"/>
      <c r="H674" s="160"/>
      <c r="I674" s="160"/>
      <c r="J674" s="160"/>
      <c r="K674" s="160"/>
      <c r="L674" s="160"/>
      <c r="M674" s="160"/>
    </row>
    <row r="675" spans="2:13">
      <c r="B675" s="400"/>
      <c r="C675" s="160"/>
      <c r="D675" s="160"/>
      <c r="E675" s="160"/>
      <c r="F675" s="160"/>
      <c r="G675" s="160"/>
      <c r="H675" s="160"/>
      <c r="I675" s="160"/>
      <c r="J675" s="160"/>
      <c r="K675" s="160"/>
      <c r="L675" s="160"/>
      <c r="M675" s="160"/>
    </row>
    <row r="676" spans="2:13">
      <c r="B676" s="400"/>
      <c r="C676" s="160"/>
      <c r="D676" s="160"/>
      <c r="E676" s="160"/>
      <c r="F676" s="160"/>
      <c r="G676" s="160"/>
      <c r="H676" s="160"/>
      <c r="I676" s="160"/>
      <c r="J676" s="160"/>
      <c r="K676" s="160"/>
      <c r="L676" s="160"/>
      <c r="M676" s="160"/>
    </row>
    <row r="677" spans="2:13">
      <c r="B677" s="400"/>
      <c r="C677" s="160"/>
      <c r="D677" s="160"/>
      <c r="E677" s="160"/>
      <c r="F677" s="160"/>
      <c r="G677" s="160"/>
      <c r="H677" s="160"/>
      <c r="I677" s="160"/>
      <c r="J677" s="160"/>
      <c r="K677" s="160"/>
      <c r="L677" s="160"/>
      <c r="M677" s="160"/>
    </row>
    <row r="678" spans="2:13">
      <c r="B678" s="400"/>
      <c r="C678" s="160"/>
      <c r="D678" s="160"/>
      <c r="E678" s="160"/>
      <c r="F678" s="160"/>
      <c r="G678" s="160"/>
      <c r="H678" s="160"/>
      <c r="I678" s="160"/>
      <c r="J678" s="160"/>
      <c r="K678" s="160"/>
      <c r="L678" s="160"/>
      <c r="M678" s="160"/>
    </row>
    <row r="679" spans="2:13">
      <c r="B679" s="400"/>
      <c r="C679" s="160"/>
      <c r="D679" s="160"/>
      <c r="E679" s="160"/>
      <c r="F679" s="160"/>
      <c r="G679" s="160"/>
      <c r="H679" s="160"/>
      <c r="I679" s="160"/>
      <c r="J679" s="160"/>
      <c r="K679" s="160"/>
      <c r="L679" s="160"/>
      <c r="M679" s="160"/>
    </row>
    <row r="680" spans="2:13">
      <c r="B680" s="400"/>
      <c r="C680" s="160"/>
      <c r="D680" s="160"/>
      <c r="E680" s="160"/>
      <c r="F680" s="160"/>
      <c r="G680" s="160"/>
      <c r="H680" s="160"/>
      <c r="I680" s="160"/>
      <c r="J680" s="160"/>
      <c r="K680" s="160"/>
      <c r="L680" s="160"/>
      <c r="M680" s="160"/>
    </row>
    <row r="681" spans="2:13">
      <c r="B681" s="400"/>
      <c r="C681" s="160"/>
      <c r="D681" s="160"/>
      <c r="E681" s="160"/>
      <c r="F681" s="160"/>
      <c r="G681" s="160"/>
      <c r="H681" s="160"/>
      <c r="I681" s="160"/>
      <c r="J681" s="160"/>
      <c r="K681" s="160"/>
      <c r="L681" s="160"/>
      <c r="M681" s="160"/>
    </row>
    <row r="682" spans="2:13">
      <c r="B682" s="400"/>
      <c r="C682" s="160"/>
      <c r="D682" s="160"/>
      <c r="E682" s="160"/>
      <c r="F682" s="160"/>
      <c r="G682" s="160"/>
      <c r="H682" s="160"/>
      <c r="I682" s="160"/>
      <c r="J682" s="160"/>
      <c r="K682" s="160"/>
      <c r="L682" s="160"/>
      <c r="M682" s="160"/>
    </row>
    <row r="683" spans="2:13">
      <c r="B683" s="400"/>
      <c r="C683" s="160"/>
      <c r="D683" s="160"/>
      <c r="E683" s="160"/>
      <c r="F683" s="160"/>
      <c r="G683" s="160"/>
      <c r="H683" s="160"/>
      <c r="I683" s="160"/>
      <c r="J683" s="160"/>
      <c r="K683" s="160"/>
      <c r="L683" s="160"/>
      <c r="M683" s="160"/>
    </row>
    <row r="684" spans="2:13">
      <c r="B684" s="400"/>
      <c r="C684" s="160"/>
      <c r="D684" s="160"/>
      <c r="E684" s="160"/>
      <c r="F684" s="160"/>
      <c r="G684" s="160"/>
      <c r="H684" s="160"/>
      <c r="I684" s="160"/>
      <c r="J684" s="160"/>
      <c r="K684" s="160"/>
      <c r="L684" s="160"/>
      <c r="M684" s="160"/>
    </row>
    <row r="685" spans="2:13">
      <c r="B685" s="400"/>
      <c r="C685" s="160"/>
      <c r="D685" s="160"/>
      <c r="E685" s="160"/>
      <c r="F685" s="160"/>
      <c r="G685" s="160"/>
      <c r="H685" s="160"/>
      <c r="I685" s="160"/>
      <c r="J685" s="160"/>
      <c r="K685" s="160"/>
      <c r="L685" s="160"/>
      <c r="M685" s="160"/>
    </row>
    <row r="686" spans="2:13">
      <c r="B686" s="400"/>
      <c r="C686" s="160"/>
      <c r="D686" s="160"/>
      <c r="E686" s="160"/>
      <c r="F686" s="160"/>
      <c r="G686" s="160"/>
      <c r="H686" s="160"/>
      <c r="I686" s="160"/>
      <c r="J686" s="160"/>
      <c r="K686" s="160"/>
      <c r="L686" s="160"/>
      <c r="M686" s="160"/>
    </row>
    <row r="687" spans="2:13">
      <c r="B687" s="400"/>
      <c r="C687" s="160"/>
      <c r="D687" s="160"/>
      <c r="E687" s="160"/>
      <c r="F687" s="160"/>
      <c r="G687" s="160"/>
      <c r="H687" s="160"/>
      <c r="I687" s="160"/>
      <c r="J687" s="160"/>
      <c r="K687" s="160"/>
      <c r="L687" s="160"/>
      <c r="M687" s="160"/>
    </row>
    <row r="688" spans="2:13">
      <c r="B688" s="400"/>
      <c r="C688" s="160"/>
      <c r="D688" s="160"/>
      <c r="E688" s="160"/>
      <c r="F688" s="160"/>
      <c r="G688" s="160"/>
      <c r="H688" s="160"/>
      <c r="I688" s="160"/>
      <c r="J688" s="160"/>
      <c r="K688" s="160"/>
      <c r="L688" s="160"/>
      <c r="M688" s="160"/>
    </row>
    <row r="689" spans="2:13">
      <c r="B689" s="400"/>
      <c r="C689" s="160"/>
      <c r="D689" s="160"/>
      <c r="E689" s="160"/>
      <c r="F689" s="160"/>
      <c r="G689" s="160"/>
      <c r="H689" s="160"/>
      <c r="I689" s="160"/>
      <c r="J689" s="160"/>
      <c r="K689" s="160"/>
      <c r="L689" s="160"/>
      <c r="M689" s="160"/>
    </row>
    <row r="690" spans="2:13">
      <c r="B690" s="400"/>
      <c r="C690" s="160"/>
      <c r="D690" s="160"/>
      <c r="E690" s="160"/>
      <c r="F690" s="160"/>
      <c r="G690" s="160"/>
      <c r="H690" s="160"/>
      <c r="I690" s="160"/>
      <c r="J690" s="160"/>
      <c r="K690" s="160"/>
      <c r="L690" s="160"/>
      <c r="M690" s="160"/>
    </row>
    <row r="691" spans="2:13">
      <c r="B691" s="400"/>
      <c r="C691" s="160"/>
      <c r="D691" s="160"/>
      <c r="E691" s="160"/>
      <c r="F691" s="160"/>
      <c r="G691" s="160"/>
      <c r="H691" s="160"/>
      <c r="I691" s="160"/>
      <c r="J691" s="160"/>
      <c r="K691" s="160"/>
      <c r="L691" s="160"/>
      <c r="M691" s="160"/>
    </row>
    <row r="692" spans="2:13">
      <c r="B692" s="400"/>
      <c r="C692" s="160"/>
      <c r="D692" s="160"/>
      <c r="E692" s="160"/>
      <c r="F692" s="160"/>
      <c r="G692" s="160"/>
      <c r="H692" s="160"/>
      <c r="I692" s="160"/>
      <c r="J692" s="160"/>
      <c r="K692" s="160"/>
      <c r="L692" s="160"/>
      <c r="M692" s="160"/>
    </row>
    <row r="693" spans="2:13">
      <c r="B693" s="400"/>
      <c r="C693" s="160"/>
      <c r="D693" s="160"/>
      <c r="E693" s="160"/>
      <c r="F693" s="160"/>
      <c r="G693" s="160"/>
      <c r="H693" s="160"/>
      <c r="I693" s="160"/>
      <c r="J693" s="160"/>
      <c r="K693" s="160"/>
      <c r="L693" s="160"/>
      <c r="M693" s="160"/>
    </row>
    <row r="694" spans="2:13">
      <c r="B694" s="400"/>
      <c r="C694" s="160"/>
      <c r="D694" s="160"/>
      <c r="E694" s="160"/>
      <c r="F694" s="160"/>
      <c r="G694" s="160"/>
      <c r="H694" s="160"/>
      <c r="I694" s="160"/>
      <c r="J694" s="160"/>
      <c r="K694" s="160"/>
      <c r="L694" s="160"/>
      <c r="M694" s="160"/>
    </row>
    <row r="695" spans="2:13">
      <c r="B695" s="400"/>
      <c r="C695" s="160"/>
      <c r="D695" s="160"/>
      <c r="E695" s="160"/>
      <c r="F695" s="160"/>
      <c r="G695" s="160"/>
      <c r="H695" s="160"/>
      <c r="I695" s="160"/>
      <c r="J695" s="160"/>
      <c r="K695" s="160"/>
      <c r="L695" s="160"/>
      <c r="M695" s="160"/>
    </row>
    <row r="696" spans="2:13">
      <c r="B696" s="400"/>
      <c r="C696" s="160"/>
      <c r="D696" s="160"/>
      <c r="E696" s="160"/>
      <c r="F696" s="160"/>
      <c r="G696" s="160"/>
      <c r="H696" s="160"/>
      <c r="I696" s="160"/>
      <c r="J696" s="160"/>
      <c r="K696" s="160"/>
      <c r="L696" s="160"/>
      <c r="M696" s="160"/>
    </row>
    <row r="697" spans="2:13">
      <c r="B697" s="400"/>
      <c r="C697" s="160"/>
      <c r="D697" s="160"/>
      <c r="E697" s="160"/>
      <c r="F697" s="160"/>
      <c r="G697" s="160"/>
      <c r="H697" s="160"/>
      <c r="I697" s="160"/>
      <c r="J697" s="160"/>
      <c r="K697" s="160"/>
      <c r="L697" s="160"/>
      <c r="M697" s="160"/>
    </row>
    <row r="698" spans="2:13">
      <c r="B698" s="400"/>
      <c r="C698" s="160"/>
      <c r="D698" s="160"/>
      <c r="E698" s="160"/>
      <c r="F698" s="160"/>
      <c r="G698" s="160"/>
      <c r="H698" s="160"/>
      <c r="I698" s="160"/>
      <c r="J698" s="160"/>
      <c r="K698" s="160"/>
      <c r="L698" s="160"/>
      <c r="M698" s="160"/>
    </row>
    <row r="699" spans="2:13">
      <c r="B699" s="400"/>
      <c r="C699" s="160"/>
      <c r="D699" s="160"/>
      <c r="E699" s="160"/>
      <c r="F699" s="160"/>
      <c r="G699" s="160"/>
      <c r="H699" s="160"/>
      <c r="I699" s="160"/>
      <c r="J699" s="160"/>
      <c r="K699" s="160"/>
      <c r="L699" s="160"/>
      <c r="M699" s="160"/>
    </row>
    <row r="700" spans="2:13">
      <c r="B700" s="400"/>
      <c r="C700" s="160"/>
      <c r="D700" s="160"/>
      <c r="E700" s="160"/>
      <c r="F700" s="160"/>
      <c r="G700" s="160"/>
      <c r="H700" s="160"/>
      <c r="I700" s="160"/>
      <c r="J700" s="160"/>
      <c r="K700" s="160"/>
      <c r="L700" s="160"/>
      <c r="M700" s="160"/>
    </row>
    <row r="701" spans="2:13">
      <c r="B701" s="400"/>
      <c r="C701" s="160"/>
      <c r="D701" s="160"/>
      <c r="E701" s="160"/>
      <c r="F701" s="160"/>
      <c r="G701" s="160"/>
      <c r="H701" s="160"/>
      <c r="I701" s="160"/>
      <c r="J701" s="160"/>
      <c r="K701" s="160"/>
      <c r="L701" s="160"/>
      <c r="M701" s="160"/>
    </row>
    <row r="702" spans="2:13">
      <c r="B702" s="400"/>
      <c r="C702" s="160"/>
      <c r="D702" s="160"/>
      <c r="E702" s="160"/>
      <c r="F702" s="160"/>
      <c r="G702" s="160"/>
      <c r="H702" s="160"/>
      <c r="I702" s="160"/>
      <c r="J702" s="160"/>
      <c r="K702" s="160"/>
      <c r="L702" s="160"/>
      <c r="M702" s="160"/>
    </row>
    <row r="703" spans="2:13">
      <c r="B703" s="400"/>
      <c r="C703" s="160"/>
      <c r="D703" s="160"/>
      <c r="E703" s="160"/>
      <c r="F703" s="160"/>
      <c r="G703" s="160"/>
      <c r="H703" s="160"/>
      <c r="I703" s="160"/>
      <c r="J703" s="160"/>
      <c r="K703" s="160"/>
      <c r="L703" s="160"/>
      <c r="M703" s="160"/>
    </row>
    <row r="704" spans="2:13">
      <c r="B704" s="400"/>
      <c r="C704" s="160"/>
      <c r="D704" s="160"/>
      <c r="E704" s="160"/>
      <c r="F704" s="160"/>
      <c r="G704" s="160"/>
      <c r="H704" s="160"/>
      <c r="I704" s="160"/>
      <c r="J704" s="160"/>
      <c r="K704" s="160"/>
      <c r="L704" s="160"/>
      <c r="M704" s="160"/>
    </row>
    <row r="705" spans="2:13">
      <c r="B705" s="400"/>
      <c r="C705" s="160"/>
      <c r="D705" s="160"/>
      <c r="E705" s="160"/>
      <c r="F705" s="160"/>
      <c r="G705" s="160"/>
      <c r="H705" s="160"/>
      <c r="I705" s="160"/>
      <c r="J705" s="160"/>
      <c r="K705" s="160"/>
      <c r="L705" s="160"/>
      <c r="M705" s="160"/>
    </row>
    <row r="706" spans="2:13">
      <c r="B706" s="400"/>
      <c r="C706" s="160"/>
      <c r="D706" s="160"/>
      <c r="E706" s="160"/>
      <c r="F706" s="160"/>
      <c r="G706" s="160"/>
      <c r="H706" s="160"/>
      <c r="I706" s="160"/>
      <c r="J706" s="160"/>
      <c r="K706" s="160"/>
      <c r="L706" s="160"/>
      <c r="M706" s="160"/>
    </row>
    <row r="707" spans="2:13">
      <c r="B707" s="400"/>
      <c r="C707" s="160"/>
      <c r="D707" s="160"/>
      <c r="E707" s="160"/>
      <c r="F707" s="160"/>
      <c r="G707" s="160"/>
      <c r="H707" s="160"/>
      <c r="I707" s="160"/>
      <c r="J707" s="160"/>
      <c r="K707" s="160"/>
      <c r="L707" s="160"/>
      <c r="M707" s="160"/>
    </row>
    <row r="708" spans="2:13">
      <c r="B708" s="400"/>
      <c r="C708" s="160"/>
      <c r="D708" s="160"/>
      <c r="E708" s="160"/>
      <c r="F708" s="160"/>
      <c r="G708" s="160"/>
      <c r="H708" s="160"/>
      <c r="I708" s="160"/>
      <c r="J708" s="160"/>
      <c r="K708" s="160"/>
      <c r="L708" s="160"/>
      <c r="M708" s="160"/>
    </row>
    <row r="709" spans="2:13">
      <c r="B709" s="400"/>
      <c r="C709" s="160"/>
      <c r="D709" s="160"/>
      <c r="E709" s="160"/>
      <c r="F709" s="160"/>
      <c r="G709" s="160"/>
      <c r="H709" s="160"/>
      <c r="I709" s="160"/>
      <c r="J709" s="160"/>
      <c r="K709" s="160"/>
      <c r="L709" s="160"/>
      <c r="M709" s="160"/>
    </row>
    <row r="710" spans="2:13">
      <c r="B710" s="400"/>
      <c r="C710" s="160"/>
      <c r="D710" s="160"/>
      <c r="E710" s="160"/>
      <c r="F710" s="160"/>
      <c r="G710" s="160"/>
      <c r="H710" s="160"/>
      <c r="I710" s="160"/>
      <c r="J710" s="160"/>
      <c r="K710" s="160"/>
      <c r="L710" s="160"/>
      <c r="M710" s="160"/>
    </row>
    <row r="711" spans="2:13">
      <c r="B711" s="400"/>
      <c r="C711" s="160"/>
      <c r="D711" s="160"/>
      <c r="E711" s="160"/>
      <c r="F711" s="160"/>
      <c r="G711" s="160"/>
      <c r="H711" s="160"/>
      <c r="I711" s="160"/>
      <c r="J711" s="160"/>
      <c r="K711" s="160"/>
      <c r="L711" s="160"/>
      <c r="M711" s="160"/>
    </row>
    <row r="712" spans="2:13">
      <c r="B712" s="400"/>
      <c r="C712" s="160"/>
      <c r="D712" s="160"/>
      <c r="E712" s="160"/>
      <c r="F712" s="160"/>
      <c r="G712" s="160"/>
      <c r="H712" s="160"/>
      <c r="I712" s="160"/>
      <c r="J712" s="160"/>
      <c r="K712" s="160"/>
      <c r="L712" s="160"/>
      <c r="M712" s="160"/>
    </row>
    <row r="713" spans="2:13">
      <c r="B713" s="400"/>
      <c r="C713" s="160"/>
      <c r="D713" s="160"/>
      <c r="E713" s="160"/>
      <c r="F713" s="160"/>
      <c r="G713" s="160"/>
      <c r="H713" s="160"/>
      <c r="I713" s="160"/>
      <c r="J713" s="160"/>
      <c r="K713" s="160"/>
      <c r="L713" s="160"/>
      <c r="M713" s="160"/>
    </row>
    <row r="714" spans="2:13">
      <c r="B714" s="400"/>
      <c r="C714" s="160"/>
      <c r="D714" s="160"/>
      <c r="E714" s="160"/>
      <c r="F714" s="160"/>
      <c r="G714" s="160"/>
      <c r="H714" s="160"/>
      <c r="I714" s="160"/>
      <c r="J714" s="160"/>
      <c r="K714" s="160"/>
      <c r="L714" s="160"/>
      <c r="M714" s="160"/>
    </row>
    <row r="715" spans="2:13">
      <c r="B715" s="400"/>
      <c r="C715" s="160"/>
      <c r="D715" s="160"/>
      <c r="E715" s="160"/>
      <c r="F715" s="160"/>
      <c r="G715" s="160"/>
      <c r="H715" s="160"/>
      <c r="I715" s="160"/>
      <c r="J715" s="160"/>
      <c r="K715" s="160"/>
      <c r="L715" s="160"/>
      <c r="M715" s="160"/>
    </row>
    <row r="716" spans="2:13">
      <c r="B716" s="400"/>
      <c r="C716" s="160"/>
      <c r="D716" s="160"/>
      <c r="E716" s="160"/>
      <c r="F716" s="160"/>
      <c r="G716" s="160"/>
      <c r="H716" s="160"/>
      <c r="I716" s="160"/>
      <c r="J716" s="160"/>
      <c r="K716" s="160"/>
      <c r="L716" s="160"/>
      <c r="M716" s="160"/>
    </row>
    <row r="717" spans="2:13">
      <c r="B717" s="400"/>
      <c r="C717" s="160"/>
      <c r="D717" s="160"/>
      <c r="E717" s="160"/>
      <c r="F717" s="160"/>
      <c r="G717" s="160"/>
      <c r="H717" s="160"/>
      <c r="I717" s="160"/>
      <c r="J717" s="160"/>
      <c r="K717" s="160"/>
      <c r="L717" s="160"/>
      <c r="M717" s="160"/>
    </row>
    <row r="718" spans="2:13">
      <c r="B718" s="400"/>
      <c r="C718" s="160"/>
      <c r="D718" s="160"/>
      <c r="E718" s="160"/>
      <c r="F718" s="160"/>
      <c r="G718" s="160"/>
      <c r="H718" s="160"/>
      <c r="I718" s="160"/>
      <c r="J718" s="160"/>
      <c r="K718" s="160"/>
      <c r="L718" s="160"/>
      <c r="M718" s="160"/>
    </row>
    <row r="719" spans="2:13">
      <c r="B719" s="400"/>
      <c r="C719" s="160"/>
      <c r="D719" s="160"/>
      <c r="E719" s="160"/>
      <c r="F719" s="160"/>
      <c r="G719" s="160"/>
      <c r="H719" s="160"/>
      <c r="I719" s="160"/>
      <c r="J719" s="160"/>
      <c r="K719" s="160"/>
      <c r="L719" s="160"/>
      <c r="M719" s="160"/>
    </row>
    <row r="720" spans="2:13">
      <c r="B720" s="400"/>
      <c r="C720" s="160"/>
      <c r="D720" s="160"/>
      <c r="E720" s="160"/>
      <c r="F720" s="160"/>
      <c r="G720" s="160"/>
      <c r="H720" s="160"/>
      <c r="I720" s="160"/>
      <c r="J720" s="160"/>
      <c r="K720" s="160"/>
      <c r="L720" s="160"/>
      <c r="M720" s="160"/>
    </row>
    <row r="721" spans="2:13">
      <c r="B721" s="400"/>
      <c r="C721" s="160"/>
      <c r="D721" s="160"/>
      <c r="E721" s="160"/>
      <c r="F721" s="160"/>
      <c r="G721" s="160"/>
      <c r="H721" s="160"/>
      <c r="I721" s="160"/>
      <c r="J721" s="160"/>
      <c r="K721" s="160"/>
      <c r="L721" s="160"/>
      <c r="M721" s="160"/>
    </row>
    <row r="722" spans="2:13">
      <c r="B722" s="400"/>
      <c r="C722" s="160"/>
      <c r="D722" s="160"/>
      <c r="E722" s="160"/>
      <c r="F722" s="160"/>
      <c r="G722" s="160"/>
      <c r="H722" s="160"/>
      <c r="I722" s="160"/>
      <c r="J722" s="160"/>
      <c r="K722" s="160"/>
      <c r="L722" s="160"/>
      <c r="M722" s="160"/>
    </row>
    <row r="723" spans="2:13">
      <c r="B723" s="400"/>
      <c r="C723" s="160"/>
      <c r="D723" s="160"/>
      <c r="E723" s="160"/>
      <c r="F723" s="160"/>
      <c r="G723" s="160"/>
      <c r="H723" s="160"/>
      <c r="I723" s="160"/>
      <c r="J723" s="160"/>
      <c r="K723" s="160"/>
      <c r="L723" s="160"/>
      <c r="M723" s="160"/>
    </row>
    <row r="724" spans="2:13">
      <c r="B724" s="400"/>
      <c r="C724" s="160"/>
      <c r="D724" s="160"/>
      <c r="E724" s="160"/>
      <c r="F724" s="160"/>
      <c r="G724" s="160"/>
      <c r="H724" s="160"/>
      <c r="I724" s="160"/>
      <c r="J724" s="160"/>
      <c r="K724" s="160"/>
      <c r="L724" s="160"/>
      <c r="M724" s="160"/>
    </row>
    <row r="725" spans="2:13">
      <c r="B725" s="400"/>
      <c r="C725" s="160"/>
      <c r="D725" s="160"/>
      <c r="E725" s="160"/>
      <c r="F725" s="160"/>
      <c r="G725" s="160"/>
      <c r="H725" s="160"/>
      <c r="I725" s="160"/>
      <c r="J725" s="160"/>
      <c r="K725" s="160"/>
      <c r="L725" s="160"/>
      <c r="M725" s="160"/>
    </row>
    <row r="726" spans="2:13">
      <c r="B726" s="400"/>
      <c r="C726" s="160"/>
      <c r="D726" s="160"/>
      <c r="E726" s="160"/>
      <c r="F726" s="160"/>
      <c r="G726" s="160"/>
      <c r="H726" s="160"/>
      <c r="I726" s="160"/>
      <c r="J726" s="160"/>
      <c r="K726" s="160"/>
      <c r="L726" s="160"/>
      <c r="M726" s="160"/>
    </row>
    <row r="727" spans="2:13">
      <c r="B727" s="400"/>
      <c r="C727" s="160"/>
      <c r="D727" s="160"/>
      <c r="E727" s="160"/>
      <c r="F727" s="160"/>
      <c r="G727" s="160"/>
      <c r="H727" s="160"/>
      <c r="I727" s="160"/>
      <c r="J727" s="160"/>
      <c r="K727" s="160"/>
      <c r="L727" s="160"/>
      <c r="M727" s="160"/>
    </row>
    <row r="728" spans="2:13">
      <c r="B728" s="400"/>
      <c r="C728" s="160"/>
      <c r="D728" s="160"/>
      <c r="E728" s="160"/>
      <c r="F728" s="160"/>
      <c r="G728" s="160"/>
      <c r="H728" s="160"/>
      <c r="I728" s="160"/>
      <c r="J728" s="160"/>
      <c r="K728" s="160"/>
      <c r="L728" s="160"/>
      <c r="M728" s="160"/>
    </row>
    <row r="729" spans="2:13">
      <c r="B729" s="400"/>
      <c r="C729" s="160"/>
      <c r="D729" s="160"/>
      <c r="E729" s="160"/>
      <c r="F729" s="160"/>
      <c r="G729" s="160"/>
      <c r="H729" s="160"/>
      <c r="I729" s="160"/>
      <c r="J729" s="160"/>
      <c r="K729" s="160"/>
      <c r="L729" s="160"/>
      <c r="M729" s="160"/>
    </row>
    <row r="730" spans="2:13">
      <c r="B730" s="400"/>
      <c r="C730" s="160"/>
      <c r="D730" s="160"/>
      <c r="E730" s="160"/>
      <c r="F730" s="160"/>
      <c r="G730" s="160"/>
      <c r="H730" s="160"/>
      <c r="I730" s="160"/>
      <c r="J730" s="160"/>
      <c r="K730" s="160"/>
      <c r="L730" s="160"/>
      <c r="M730" s="160"/>
    </row>
    <row r="731" spans="2:13">
      <c r="B731" s="400"/>
      <c r="C731" s="160"/>
      <c r="D731" s="160"/>
      <c r="E731" s="160"/>
      <c r="F731" s="160"/>
      <c r="G731" s="160"/>
      <c r="H731" s="160"/>
      <c r="I731" s="160"/>
      <c r="J731" s="160"/>
      <c r="K731" s="160"/>
      <c r="L731" s="160"/>
      <c r="M731" s="160"/>
    </row>
    <row r="732" spans="2:13">
      <c r="B732" s="400"/>
      <c r="C732" s="160"/>
      <c r="D732" s="160"/>
      <c r="E732" s="160"/>
      <c r="F732" s="160"/>
      <c r="G732" s="160"/>
      <c r="H732" s="160"/>
      <c r="I732" s="160"/>
      <c r="J732" s="160"/>
      <c r="K732" s="160"/>
      <c r="L732" s="160"/>
      <c r="M732" s="160"/>
    </row>
    <row r="733" spans="2:13">
      <c r="B733" s="400"/>
      <c r="C733" s="160"/>
      <c r="D733" s="160"/>
      <c r="E733" s="160"/>
      <c r="F733" s="160"/>
      <c r="G733" s="160"/>
      <c r="H733" s="160"/>
      <c r="I733" s="160"/>
      <c r="J733" s="160"/>
      <c r="K733" s="160"/>
      <c r="L733" s="160"/>
      <c r="M733" s="160"/>
    </row>
    <row r="734" spans="2:13">
      <c r="B734" s="400"/>
      <c r="C734" s="160"/>
      <c r="D734" s="160"/>
      <c r="E734" s="160"/>
      <c r="F734" s="160"/>
      <c r="G734" s="160"/>
      <c r="H734" s="160"/>
      <c r="I734" s="160"/>
      <c r="J734" s="160"/>
      <c r="K734" s="160"/>
      <c r="L734" s="160"/>
      <c r="M734" s="160"/>
    </row>
    <row r="735" spans="2:13">
      <c r="B735" s="400"/>
      <c r="C735" s="160"/>
      <c r="D735" s="160"/>
      <c r="E735" s="160"/>
      <c r="F735" s="160"/>
      <c r="G735" s="160"/>
      <c r="H735" s="160"/>
      <c r="I735" s="160"/>
      <c r="J735" s="160"/>
      <c r="K735" s="160"/>
      <c r="L735" s="160"/>
      <c r="M735" s="160"/>
    </row>
    <row r="736" spans="2:13">
      <c r="B736" s="400"/>
      <c r="C736" s="160"/>
      <c r="D736" s="160"/>
      <c r="E736" s="160"/>
      <c r="F736" s="160"/>
      <c r="G736" s="160"/>
      <c r="H736" s="160"/>
      <c r="I736" s="160"/>
      <c r="J736" s="160"/>
      <c r="K736" s="160"/>
      <c r="L736" s="160"/>
      <c r="M736" s="160"/>
    </row>
    <row r="737" spans="2:13">
      <c r="B737" s="400"/>
      <c r="C737" s="160"/>
      <c r="D737" s="160"/>
      <c r="E737" s="160"/>
      <c r="F737" s="160"/>
      <c r="G737" s="160"/>
      <c r="H737" s="160"/>
      <c r="I737" s="160"/>
      <c r="J737" s="160"/>
      <c r="K737" s="160"/>
      <c r="L737" s="160"/>
      <c r="M737" s="160"/>
    </row>
    <row r="738" spans="2:13">
      <c r="B738" s="400"/>
      <c r="C738" s="160"/>
      <c r="D738" s="160"/>
      <c r="E738" s="160"/>
      <c r="F738" s="160"/>
      <c r="G738" s="160"/>
      <c r="H738" s="160"/>
      <c r="I738" s="160"/>
      <c r="J738" s="160"/>
      <c r="K738" s="160"/>
      <c r="L738" s="160"/>
      <c r="M738" s="160"/>
    </row>
    <row r="739" spans="2:13">
      <c r="B739" s="400"/>
      <c r="C739" s="160"/>
      <c r="D739" s="160"/>
      <c r="E739" s="160"/>
      <c r="F739" s="160"/>
      <c r="G739" s="160"/>
      <c r="H739" s="160"/>
      <c r="I739" s="160"/>
      <c r="J739" s="160"/>
      <c r="K739" s="160"/>
      <c r="L739" s="160"/>
      <c r="M739" s="160"/>
    </row>
    <row r="740" spans="2:13">
      <c r="B740" s="400"/>
      <c r="C740" s="160"/>
      <c r="D740" s="160"/>
      <c r="E740" s="160"/>
      <c r="F740" s="160"/>
      <c r="G740" s="160"/>
      <c r="H740" s="160"/>
      <c r="I740" s="160"/>
      <c r="J740" s="160"/>
      <c r="K740" s="160"/>
      <c r="L740" s="160"/>
      <c r="M740" s="160"/>
    </row>
    <row r="741" spans="2:13">
      <c r="B741" s="400"/>
      <c r="C741" s="160"/>
      <c r="D741" s="160"/>
      <c r="E741" s="160"/>
      <c r="F741" s="160"/>
      <c r="G741" s="160"/>
      <c r="H741" s="160"/>
      <c r="I741" s="160"/>
      <c r="J741" s="160"/>
      <c r="K741" s="160"/>
      <c r="L741" s="160"/>
      <c r="M741" s="160"/>
    </row>
    <row r="742" spans="2:13">
      <c r="B742" s="400"/>
      <c r="C742" s="160"/>
      <c r="D742" s="160"/>
      <c r="E742" s="160"/>
      <c r="F742" s="160"/>
      <c r="G742" s="160"/>
      <c r="H742" s="160"/>
      <c r="I742" s="160"/>
      <c r="J742" s="160"/>
      <c r="K742" s="160"/>
      <c r="L742" s="160"/>
      <c r="M742" s="160"/>
    </row>
    <row r="743" spans="2:13">
      <c r="B743" s="400"/>
      <c r="C743" s="160"/>
      <c r="D743" s="160"/>
      <c r="E743" s="160"/>
      <c r="F743" s="160"/>
      <c r="G743" s="160"/>
      <c r="H743" s="160"/>
      <c r="I743" s="160"/>
      <c r="J743" s="160"/>
      <c r="K743" s="160"/>
      <c r="L743" s="160"/>
      <c r="M743" s="160"/>
    </row>
    <row r="744" spans="2:13">
      <c r="B744" s="400"/>
      <c r="C744" s="160"/>
      <c r="D744" s="160"/>
      <c r="E744" s="160"/>
      <c r="F744" s="160"/>
      <c r="G744" s="160"/>
      <c r="H744" s="160"/>
      <c r="I744" s="160"/>
      <c r="J744" s="160"/>
      <c r="K744" s="160"/>
      <c r="L744" s="160"/>
      <c r="M744" s="160"/>
    </row>
    <row r="745" spans="2:13">
      <c r="B745" s="400"/>
      <c r="C745" s="160"/>
      <c r="D745" s="160"/>
      <c r="E745" s="160"/>
      <c r="F745" s="160"/>
      <c r="G745" s="160"/>
      <c r="H745" s="160"/>
      <c r="I745" s="160"/>
      <c r="J745" s="160"/>
      <c r="K745" s="160"/>
      <c r="L745" s="160"/>
      <c r="M745" s="160"/>
    </row>
    <row r="746" spans="2:13">
      <c r="B746" s="400"/>
      <c r="C746" s="160"/>
      <c r="D746" s="160"/>
      <c r="E746" s="160"/>
      <c r="F746" s="160"/>
      <c r="G746" s="160"/>
      <c r="H746" s="160"/>
      <c r="I746" s="160"/>
      <c r="J746" s="160"/>
      <c r="K746" s="160"/>
      <c r="L746" s="160"/>
      <c r="M746" s="160"/>
    </row>
    <row r="747" spans="2:13">
      <c r="B747" s="400"/>
      <c r="C747" s="160"/>
      <c r="D747" s="160"/>
      <c r="E747" s="160"/>
      <c r="F747" s="160"/>
      <c r="G747" s="160"/>
      <c r="H747" s="160"/>
      <c r="I747" s="160"/>
      <c r="J747" s="160"/>
      <c r="K747" s="160"/>
      <c r="L747" s="160"/>
      <c r="M747" s="160"/>
    </row>
    <row r="748" spans="2:13">
      <c r="B748" s="400"/>
      <c r="C748" s="160"/>
      <c r="D748" s="160"/>
      <c r="E748" s="160"/>
      <c r="F748" s="160"/>
      <c r="G748" s="160"/>
      <c r="H748" s="160"/>
      <c r="I748" s="160"/>
      <c r="J748" s="160"/>
      <c r="K748" s="160"/>
      <c r="L748" s="160"/>
      <c r="M748" s="160"/>
    </row>
    <row r="749" spans="2:13">
      <c r="B749" s="400"/>
      <c r="C749" s="160"/>
      <c r="D749" s="160"/>
      <c r="E749" s="160"/>
      <c r="F749" s="160"/>
      <c r="G749" s="160"/>
      <c r="H749" s="160"/>
      <c r="I749" s="160"/>
      <c r="J749" s="160"/>
      <c r="K749" s="160"/>
      <c r="L749" s="160"/>
      <c r="M749" s="160"/>
    </row>
    <row r="750" spans="2:13">
      <c r="B750" s="400"/>
      <c r="C750" s="160"/>
      <c r="D750" s="160"/>
      <c r="E750" s="160"/>
      <c r="F750" s="160"/>
      <c r="G750" s="160"/>
      <c r="H750" s="160"/>
      <c r="I750" s="160"/>
      <c r="J750" s="160"/>
      <c r="K750" s="160"/>
      <c r="L750" s="160"/>
      <c r="M750" s="160"/>
    </row>
    <row r="751" spans="2:13">
      <c r="B751" s="400"/>
      <c r="C751" s="160"/>
      <c r="D751" s="160"/>
      <c r="E751" s="160"/>
      <c r="F751" s="160"/>
      <c r="G751" s="160"/>
      <c r="H751" s="160"/>
      <c r="I751" s="160"/>
      <c r="J751" s="160"/>
      <c r="K751" s="160"/>
      <c r="L751" s="160"/>
      <c r="M751" s="160"/>
    </row>
    <row r="752" spans="2:13">
      <c r="B752" s="400"/>
      <c r="C752" s="160"/>
      <c r="D752" s="160"/>
      <c r="E752" s="160"/>
      <c r="F752" s="160"/>
      <c r="G752" s="160"/>
      <c r="H752" s="160"/>
      <c r="I752" s="160"/>
      <c r="J752" s="160"/>
      <c r="K752" s="160"/>
      <c r="L752" s="160"/>
      <c r="M752" s="160"/>
    </row>
    <row r="753" spans="2:13">
      <c r="B753" s="400"/>
      <c r="C753" s="160"/>
      <c r="D753" s="160"/>
      <c r="E753" s="160"/>
      <c r="F753" s="160"/>
      <c r="G753" s="160"/>
      <c r="H753" s="160"/>
      <c r="I753" s="160"/>
      <c r="J753" s="160"/>
      <c r="K753" s="160"/>
      <c r="L753" s="160"/>
      <c r="M753" s="160"/>
    </row>
    <row r="754" spans="2:13">
      <c r="B754" s="400"/>
      <c r="C754" s="160"/>
      <c r="D754" s="160"/>
      <c r="E754" s="160"/>
      <c r="F754" s="160"/>
      <c r="G754" s="160"/>
      <c r="H754" s="160"/>
      <c r="I754" s="160"/>
      <c r="J754" s="160"/>
      <c r="K754" s="160"/>
      <c r="L754" s="160"/>
      <c r="M754" s="160"/>
    </row>
    <row r="755" spans="2:13">
      <c r="B755" s="400"/>
      <c r="C755" s="160"/>
      <c r="D755" s="160"/>
      <c r="E755" s="160"/>
      <c r="F755" s="160"/>
      <c r="G755" s="160"/>
      <c r="H755" s="160"/>
      <c r="I755" s="160"/>
      <c r="J755" s="160"/>
      <c r="K755" s="160"/>
      <c r="L755" s="160"/>
      <c r="M755" s="160"/>
    </row>
    <row r="756" spans="2:13">
      <c r="B756" s="400"/>
      <c r="C756" s="160"/>
      <c r="D756" s="160"/>
      <c r="E756" s="160"/>
      <c r="F756" s="160"/>
      <c r="G756" s="160"/>
      <c r="H756" s="160"/>
      <c r="I756" s="160"/>
      <c r="J756" s="160"/>
      <c r="K756" s="160"/>
      <c r="L756" s="160"/>
      <c r="M756" s="160"/>
    </row>
    <row r="757" spans="2:13">
      <c r="B757" s="400"/>
      <c r="C757" s="160"/>
      <c r="D757" s="160"/>
      <c r="E757" s="160"/>
      <c r="F757" s="160"/>
      <c r="G757" s="160"/>
      <c r="H757" s="160"/>
      <c r="I757" s="160"/>
      <c r="J757" s="160"/>
      <c r="K757" s="160"/>
      <c r="L757" s="160"/>
      <c r="M757" s="160"/>
    </row>
    <row r="758" spans="2:13">
      <c r="B758" s="400"/>
      <c r="C758" s="160"/>
      <c r="D758" s="160"/>
      <c r="E758" s="160"/>
      <c r="F758" s="160"/>
      <c r="G758" s="160"/>
      <c r="H758" s="160"/>
      <c r="I758" s="160"/>
      <c r="J758" s="160"/>
      <c r="K758" s="160"/>
      <c r="L758" s="160"/>
      <c r="M758" s="160"/>
    </row>
    <row r="759" spans="2:13">
      <c r="B759" s="400"/>
      <c r="C759" s="160"/>
      <c r="D759" s="160"/>
      <c r="E759" s="160"/>
      <c r="F759" s="160"/>
      <c r="G759" s="160"/>
      <c r="H759" s="160"/>
      <c r="I759" s="160"/>
      <c r="J759" s="160"/>
      <c r="K759" s="160"/>
      <c r="L759" s="160"/>
      <c r="M759" s="160"/>
    </row>
    <row r="760" spans="2:13">
      <c r="B760" s="400"/>
      <c r="C760" s="160"/>
      <c r="D760" s="160"/>
      <c r="E760" s="160"/>
      <c r="F760" s="160"/>
      <c r="G760" s="160"/>
      <c r="H760" s="160"/>
      <c r="I760" s="160"/>
      <c r="J760" s="160"/>
      <c r="K760" s="160"/>
      <c r="L760" s="160"/>
      <c r="M760" s="160"/>
    </row>
    <row r="761" spans="2:13">
      <c r="B761" s="400"/>
      <c r="C761" s="160"/>
      <c r="D761" s="160"/>
      <c r="E761" s="160"/>
      <c r="F761" s="160"/>
      <c r="G761" s="160"/>
      <c r="H761" s="160"/>
      <c r="I761" s="160"/>
      <c r="J761" s="160"/>
      <c r="K761" s="160"/>
      <c r="L761" s="160"/>
      <c r="M761" s="160"/>
    </row>
    <row r="762" spans="2:13">
      <c r="B762" s="400"/>
      <c r="C762" s="160"/>
      <c r="D762" s="160"/>
      <c r="E762" s="160"/>
      <c r="F762" s="160"/>
      <c r="G762" s="160"/>
      <c r="H762" s="160"/>
      <c r="I762" s="160"/>
      <c r="J762" s="160"/>
      <c r="K762" s="160"/>
      <c r="L762" s="160"/>
      <c r="M762" s="160"/>
    </row>
    <row r="763" spans="2:13">
      <c r="B763" s="400"/>
      <c r="C763" s="160"/>
      <c r="D763" s="160"/>
      <c r="E763" s="160"/>
      <c r="F763" s="160"/>
      <c r="G763" s="160"/>
      <c r="H763" s="160"/>
      <c r="I763" s="160"/>
      <c r="J763" s="160"/>
      <c r="K763" s="160"/>
      <c r="L763" s="160"/>
      <c r="M763" s="160"/>
    </row>
    <row r="764" spans="2:13">
      <c r="B764" s="400"/>
      <c r="C764" s="160"/>
      <c r="D764" s="160"/>
      <c r="E764" s="160"/>
      <c r="F764" s="160"/>
      <c r="G764" s="160"/>
      <c r="H764" s="160"/>
      <c r="I764" s="160"/>
      <c r="J764" s="160"/>
      <c r="K764" s="160"/>
      <c r="L764" s="160"/>
      <c r="M764" s="160"/>
    </row>
    <row r="765" spans="2:13">
      <c r="B765" s="400"/>
      <c r="C765" s="160"/>
      <c r="D765" s="160"/>
      <c r="E765" s="160"/>
      <c r="F765" s="160"/>
      <c r="G765" s="160"/>
      <c r="H765" s="160"/>
      <c r="I765" s="160"/>
      <c r="J765" s="160"/>
      <c r="K765" s="160"/>
      <c r="L765" s="160"/>
      <c r="M765" s="160"/>
    </row>
    <row r="766" spans="2:13">
      <c r="B766" s="400"/>
      <c r="C766" s="160"/>
      <c r="D766" s="160"/>
      <c r="E766" s="160"/>
      <c r="F766" s="160"/>
      <c r="G766" s="160"/>
      <c r="H766" s="160"/>
      <c r="I766" s="160"/>
      <c r="J766" s="160"/>
      <c r="K766" s="160"/>
      <c r="L766" s="160"/>
      <c r="M766" s="160"/>
    </row>
    <row r="767" spans="2:13">
      <c r="B767" s="400"/>
      <c r="C767" s="160"/>
      <c r="D767" s="160"/>
      <c r="E767" s="160"/>
      <c r="F767" s="160"/>
      <c r="G767" s="160"/>
      <c r="H767" s="160"/>
      <c r="I767" s="160"/>
      <c r="J767" s="160"/>
      <c r="K767" s="160"/>
      <c r="L767" s="160"/>
      <c r="M767" s="160"/>
    </row>
    <row r="768" spans="2:13">
      <c r="B768" s="400"/>
      <c r="C768" s="160"/>
      <c r="D768" s="160"/>
      <c r="E768" s="160"/>
      <c r="F768" s="160"/>
      <c r="G768" s="160"/>
      <c r="H768" s="160"/>
      <c r="I768" s="160"/>
      <c r="J768" s="160"/>
      <c r="K768" s="160"/>
      <c r="L768" s="160"/>
      <c r="M768" s="160"/>
    </row>
    <row r="769" spans="2:13">
      <c r="B769" s="400"/>
      <c r="C769" s="160"/>
      <c r="D769" s="160"/>
      <c r="E769" s="160"/>
      <c r="F769" s="160"/>
      <c r="G769" s="160"/>
      <c r="H769" s="160"/>
      <c r="I769" s="160"/>
      <c r="J769" s="160"/>
      <c r="K769" s="160"/>
      <c r="L769" s="160"/>
      <c r="M769" s="160"/>
    </row>
    <row r="770" spans="2:13">
      <c r="B770" s="400"/>
      <c r="C770" s="160"/>
      <c r="D770" s="160"/>
      <c r="E770" s="160"/>
      <c r="F770" s="160"/>
      <c r="G770" s="160"/>
      <c r="H770" s="160"/>
      <c r="I770" s="160"/>
      <c r="J770" s="160"/>
      <c r="K770" s="160"/>
      <c r="L770" s="160"/>
      <c r="M770" s="160"/>
    </row>
    <row r="771" spans="2:13">
      <c r="B771" s="400"/>
      <c r="C771" s="160"/>
      <c r="D771" s="160"/>
      <c r="E771" s="160"/>
      <c r="F771" s="160"/>
      <c r="G771" s="160"/>
      <c r="H771" s="160"/>
      <c r="I771" s="160"/>
      <c r="J771" s="160"/>
      <c r="K771" s="160"/>
      <c r="L771" s="160"/>
      <c r="M771" s="160"/>
    </row>
    <row r="772" spans="2:13">
      <c r="B772" s="400"/>
      <c r="C772" s="160"/>
      <c r="D772" s="160"/>
      <c r="E772" s="160"/>
      <c r="F772" s="160"/>
      <c r="G772" s="160"/>
      <c r="H772" s="160"/>
      <c r="I772" s="160"/>
      <c r="J772" s="160"/>
      <c r="K772" s="160"/>
      <c r="L772" s="160"/>
      <c r="M772" s="160"/>
    </row>
    <row r="773" spans="2:13">
      <c r="B773" s="400"/>
      <c r="C773" s="160"/>
      <c r="D773" s="160"/>
      <c r="E773" s="160"/>
      <c r="F773" s="160"/>
      <c r="G773" s="160"/>
      <c r="H773" s="160"/>
      <c r="I773" s="160"/>
      <c r="J773" s="160"/>
      <c r="K773" s="160"/>
      <c r="L773" s="160"/>
      <c r="M773" s="160"/>
    </row>
    <row r="774" spans="2:13">
      <c r="B774" s="400"/>
      <c r="C774" s="160"/>
      <c r="D774" s="160"/>
      <c r="E774" s="160"/>
      <c r="F774" s="160"/>
      <c r="G774" s="160"/>
      <c r="H774" s="160"/>
      <c r="I774" s="160"/>
      <c r="J774" s="160"/>
      <c r="K774" s="160"/>
      <c r="L774" s="160"/>
      <c r="M774" s="160"/>
    </row>
    <row r="775" spans="2:13">
      <c r="B775" s="400"/>
      <c r="C775" s="160"/>
      <c r="D775" s="160"/>
      <c r="E775" s="160"/>
      <c r="F775" s="160"/>
      <c r="G775" s="160"/>
      <c r="H775" s="160"/>
      <c r="I775" s="160"/>
      <c r="J775" s="160"/>
      <c r="K775" s="160"/>
      <c r="L775" s="160"/>
      <c r="M775" s="160"/>
    </row>
    <row r="776" spans="2:13">
      <c r="B776" s="400"/>
      <c r="C776" s="160"/>
      <c r="D776" s="160"/>
      <c r="E776" s="160"/>
      <c r="F776" s="160"/>
      <c r="G776" s="160"/>
      <c r="H776" s="160"/>
      <c r="I776" s="160"/>
      <c r="J776" s="160"/>
      <c r="K776" s="160"/>
      <c r="L776" s="160"/>
      <c r="M776" s="160"/>
    </row>
    <row r="777" spans="2:13">
      <c r="B777" s="400"/>
      <c r="C777" s="160"/>
      <c r="D777" s="160"/>
      <c r="E777" s="160"/>
      <c r="F777" s="160"/>
      <c r="G777" s="160"/>
      <c r="H777" s="160"/>
      <c r="I777" s="160"/>
      <c r="J777" s="160"/>
      <c r="K777" s="160"/>
      <c r="L777" s="160"/>
      <c r="M777" s="160"/>
    </row>
    <row r="778" spans="2:13">
      <c r="B778" s="400"/>
      <c r="C778" s="160"/>
      <c r="D778" s="160"/>
      <c r="E778" s="160"/>
      <c r="F778" s="160"/>
      <c r="G778" s="160"/>
      <c r="H778" s="160"/>
      <c r="I778" s="160"/>
      <c r="J778" s="160"/>
      <c r="K778" s="160"/>
      <c r="L778" s="160"/>
      <c r="M778" s="160"/>
    </row>
    <row r="779" spans="2:13">
      <c r="B779" s="400"/>
      <c r="C779" s="160"/>
      <c r="D779" s="160"/>
      <c r="E779" s="160"/>
      <c r="F779" s="160"/>
      <c r="G779" s="160"/>
      <c r="H779" s="160"/>
      <c r="I779" s="160"/>
      <c r="J779" s="160"/>
      <c r="K779" s="160"/>
      <c r="L779" s="160"/>
      <c r="M779" s="160"/>
    </row>
    <row r="780" spans="2:13">
      <c r="B780" s="400"/>
      <c r="C780" s="160"/>
      <c r="D780" s="160"/>
      <c r="E780" s="160"/>
      <c r="F780" s="160"/>
      <c r="G780" s="160"/>
      <c r="H780" s="160"/>
      <c r="I780" s="160"/>
      <c r="J780" s="160"/>
      <c r="K780" s="160"/>
      <c r="L780" s="160"/>
      <c r="M780" s="160"/>
    </row>
    <row r="781" spans="2:13">
      <c r="B781" s="400"/>
      <c r="C781" s="160"/>
      <c r="D781" s="160"/>
      <c r="E781" s="160"/>
      <c r="F781" s="160"/>
      <c r="G781" s="160"/>
      <c r="H781" s="160"/>
      <c r="I781" s="160"/>
      <c r="J781" s="160"/>
      <c r="K781" s="160"/>
      <c r="L781" s="160"/>
      <c r="M781" s="160"/>
    </row>
    <row r="782" spans="2:13">
      <c r="B782" s="400"/>
      <c r="C782" s="160"/>
      <c r="D782" s="160"/>
      <c r="E782" s="160"/>
      <c r="F782" s="160"/>
      <c r="G782" s="160"/>
      <c r="H782" s="160"/>
      <c r="I782" s="160"/>
      <c r="J782" s="160"/>
      <c r="K782" s="160"/>
      <c r="L782" s="160"/>
      <c r="M782" s="160"/>
    </row>
    <row r="783" spans="2:13">
      <c r="B783" s="400"/>
      <c r="C783" s="160"/>
      <c r="D783" s="160"/>
      <c r="E783" s="160"/>
      <c r="F783" s="160"/>
      <c r="G783" s="160"/>
      <c r="H783" s="160"/>
      <c r="I783" s="160"/>
      <c r="J783" s="160"/>
      <c r="K783" s="160"/>
      <c r="L783" s="160"/>
      <c r="M783" s="160"/>
    </row>
    <row r="784" spans="2:13">
      <c r="B784" s="400"/>
      <c r="C784" s="160"/>
      <c r="D784" s="160"/>
      <c r="E784" s="160"/>
      <c r="F784" s="160"/>
      <c r="G784" s="160"/>
      <c r="H784" s="160"/>
      <c r="I784" s="160"/>
      <c r="J784" s="160"/>
      <c r="K784" s="160"/>
      <c r="L784" s="160"/>
      <c r="M784" s="160"/>
    </row>
    <row r="785" spans="2:13">
      <c r="B785" s="400"/>
      <c r="C785" s="160"/>
      <c r="D785" s="160"/>
      <c r="E785" s="160"/>
      <c r="F785" s="160"/>
      <c r="G785" s="160"/>
      <c r="H785" s="160"/>
      <c r="I785" s="160"/>
      <c r="J785" s="160"/>
      <c r="K785" s="160"/>
      <c r="L785" s="160"/>
      <c r="M785" s="160"/>
    </row>
    <row r="786" spans="2:13">
      <c r="B786" s="400"/>
      <c r="C786" s="160"/>
      <c r="D786" s="160"/>
      <c r="E786" s="160"/>
      <c r="F786" s="160"/>
      <c r="G786" s="160"/>
      <c r="H786" s="160"/>
      <c r="I786" s="160"/>
      <c r="J786" s="160"/>
      <c r="K786" s="160"/>
      <c r="L786" s="160"/>
      <c r="M786" s="160"/>
    </row>
    <row r="787" spans="2:13">
      <c r="B787" s="400"/>
      <c r="C787" s="160"/>
      <c r="D787" s="160"/>
      <c r="E787" s="160"/>
      <c r="F787" s="160"/>
      <c r="G787" s="160"/>
      <c r="H787" s="160"/>
      <c r="I787" s="160"/>
      <c r="J787" s="160"/>
      <c r="K787" s="160"/>
      <c r="L787" s="160"/>
      <c r="M787" s="160"/>
    </row>
    <row r="788" spans="2:13">
      <c r="B788" s="400"/>
      <c r="C788" s="160"/>
      <c r="D788" s="160"/>
      <c r="E788" s="160"/>
      <c r="F788" s="160"/>
      <c r="G788" s="160"/>
      <c r="H788" s="160"/>
      <c r="I788" s="160"/>
      <c r="J788" s="160"/>
      <c r="K788" s="160"/>
      <c r="L788" s="160"/>
      <c r="M788" s="160"/>
    </row>
    <row r="789" spans="2:13">
      <c r="B789" s="400"/>
      <c r="C789" s="160"/>
      <c r="D789" s="160"/>
      <c r="E789" s="160"/>
      <c r="F789" s="160"/>
      <c r="G789" s="160"/>
      <c r="H789" s="160"/>
      <c r="I789" s="160"/>
      <c r="J789" s="160"/>
      <c r="K789" s="160"/>
      <c r="L789" s="160"/>
      <c r="M789" s="160"/>
    </row>
    <row r="790" spans="2:13">
      <c r="B790" s="400"/>
      <c r="C790" s="160"/>
      <c r="D790" s="160"/>
      <c r="E790" s="160"/>
      <c r="F790" s="160"/>
      <c r="G790" s="160"/>
      <c r="H790" s="160"/>
      <c r="I790" s="160"/>
      <c r="J790" s="160"/>
      <c r="K790" s="160"/>
      <c r="L790" s="160"/>
      <c r="M790" s="160"/>
    </row>
    <row r="791" spans="2:13">
      <c r="B791" s="400"/>
      <c r="C791" s="160"/>
      <c r="D791" s="160"/>
      <c r="E791" s="160"/>
      <c r="F791" s="160"/>
      <c r="G791" s="160"/>
      <c r="H791" s="160"/>
      <c r="I791" s="160"/>
      <c r="J791" s="160"/>
      <c r="K791" s="160"/>
      <c r="L791" s="160"/>
      <c r="M791" s="160"/>
    </row>
    <row r="792" spans="2:13">
      <c r="B792" s="400"/>
      <c r="C792" s="160"/>
      <c r="D792" s="160"/>
      <c r="E792" s="160"/>
      <c r="F792" s="160"/>
      <c r="G792" s="160"/>
      <c r="H792" s="160"/>
      <c r="I792" s="160"/>
      <c r="J792" s="160"/>
      <c r="K792" s="160"/>
      <c r="L792" s="160"/>
      <c r="M792" s="160"/>
    </row>
    <row r="793" spans="2:13">
      <c r="B793" s="400"/>
      <c r="C793" s="160"/>
      <c r="D793" s="160"/>
      <c r="E793" s="160"/>
      <c r="F793" s="160"/>
      <c r="G793" s="160"/>
      <c r="H793" s="160"/>
      <c r="I793" s="160"/>
      <c r="J793" s="160"/>
      <c r="K793" s="160"/>
      <c r="L793" s="160"/>
      <c r="M793" s="160"/>
    </row>
    <row r="794" spans="2:13">
      <c r="B794" s="400"/>
      <c r="C794" s="160"/>
      <c r="D794" s="160"/>
      <c r="E794" s="160"/>
      <c r="F794" s="160"/>
      <c r="G794" s="160"/>
      <c r="H794" s="160"/>
      <c r="I794" s="160"/>
      <c r="J794" s="160"/>
      <c r="K794" s="160"/>
      <c r="L794" s="160"/>
      <c r="M794" s="160"/>
    </row>
    <row r="795" spans="2:13">
      <c r="B795" s="400"/>
      <c r="C795" s="160"/>
      <c r="D795" s="160"/>
      <c r="E795" s="160"/>
      <c r="F795" s="160"/>
      <c r="G795" s="160"/>
      <c r="H795" s="160"/>
      <c r="I795" s="160"/>
      <c r="J795" s="160"/>
      <c r="K795" s="160"/>
      <c r="L795" s="160"/>
      <c r="M795" s="160"/>
    </row>
    <row r="796" spans="2:13">
      <c r="B796" s="400"/>
      <c r="C796" s="160"/>
      <c r="D796" s="160"/>
      <c r="E796" s="160"/>
      <c r="F796" s="160"/>
      <c r="G796" s="160"/>
      <c r="H796" s="160"/>
      <c r="I796" s="160"/>
      <c r="J796" s="160"/>
      <c r="K796" s="160"/>
      <c r="L796" s="160"/>
      <c r="M796" s="160"/>
    </row>
    <row r="797" spans="2:13">
      <c r="B797" s="400"/>
      <c r="C797" s="160"/>
      <c r="D797" s="160"/>
      <c r="E797" s="160"/>
      <c r="F797" s="160"/>
      <c r="G797" s="160"/>
      <c r="H797" s="160"/>
      <c r="I797" s="160"/>
      <c r="J797" s="160"/>
      <c r="K797" s="160"/>
      <c r="L797" s="160"/>
      <c r="M797" s="160"/>
    </row>
    <row r="798" spans="2:13">
      <c r="B798" s="400"/>
      <c r="C798" s="160"/>
      <c r="D798" s="160"/>
      <c r="E798" s="160"/>
      <c r="F798" s="160"/>
      <c r="G798" s="160"/>
      <c r="H798" s="160"/>
      <c r="I798" s="160"/>
      <c r="J798" s="160"/>
      <c r="K798" s="160"/>
      <c r="L798" s="160"/>
      <c r="M798" s="160"/>
    </row>
    <row r="799" spans="2:13">
      <c r="B799" s="400"/>
      <c r="C799" s="160"/>
      <c r="D799" s="160"/>
      <c r="E799" s="160"/>
      <c r="F799" s="160"/>
      <c r="G799" s="160"/>
      <c r="H799" s="160"/>
      <c r="I799" s="160"/>
      <c r="J799" s="160"/>
      <c r="K799" s="160"/>
      <c r="L799" s="160"/>
      <c r="M799" s="160"/>
    </row>
    <row r="800" spans="2:13">
      <c r="B800" s="400"/>
      <c r="C800" s="160"/>
      <c r="D800" s="160"/>
      <c r="E800" s="160"/>
      <c r="F800" s="160"/>
      <c r="G800" s="160"/>
      <c r="H800" s="160"/>
      <c r="I800" s="160"/>
      <c r="J800" s="160"/>
      <c r="K800" s="160"/>
      <c r="L800" s="160"/>
      <c r="M800" s="160"/>
    </row>
    <row r="801" spans="2:13">
      <c r="B801" s="400"/>
      <c r="C801" s="160"/>
      <c r="D801" s="160"/>
      <c r="E801" s="160"/>
      <c r="F801" s="160"/>
      <c r="G801" s="160"/>
      <c r="H801" s="160"/>
      <c r="I801" s="160"/>
      <c r="J801" s="160"/>
      <c r="K801" s="160"/>
      <c r="L801" s="160"/>
      <c r="M801" s="160"/>
    </row>
    <row r="802" spans="2:13">
      <c r="B802" s="400"/>
      <c r="C802" s="160"/>
      <c r="D802" s="160"/>
      <c r="E802" s="160"/>
      <c r="F802" s="160"/>
      <c r="G802" s="160"/>
      <c r="H802" s="160"/>
      <c r="I802" s="160"/>
      <c r="J802" s="160"/>
      <c r="K802" s="160"/>
      <c r="L802" s="160"/>
      <c r="M802" s="160"/>
    </row>
    <row r="803" spans="2:13">
      <c r="B803" s="400"/>
      <c r="C803" s="160"/>
      <c r="D803" s="160"/>
      <c r="E803" s="160"/>
      <c r="F803" s="160"/>
      <c r="G803" s="160"/>
      <c r="H803" s="160"/>
      <c r="I803" s="160"/>
      <c r="J803" s="160"/>
      <c r="K803" s="160"/>
      <c r="L803" s="160"/>
      <c r="M803" s="160"/>
    </row>
    <row r="804" spans="2:13">
      <c r="B804" s="400"/>
      <c r="C804" s="160"/>
      <c r="D804" s="160"/>
      <c r="E804" s="160"/>
      <c r="F804" s="160"/>
      <c r="G804" s="160"/>
      <c r="H804" s="160"/>
      <c r="I804" s="160"/>
      <c r="J804" s="160"/>
      <c r="K804" s="160"/>
      <c r="L804" s="160"/>
      <c r="M804" s="160"/>
    </row>
    <row r="805" spans="2:13">
      <c r="B805" s="400"/>
      <c r="C805" s="160"/>
      <c r="D805" s="160"/>
      <c r="E805" s="160"/>
      <c r="F805" s="160"/>
      <c r="G805" s="160"/>
      <c r="H805" s="160"/>
      <c r="I805" s="160"/>
      <c r="J805" s="160"/>
      <c r="K805" s="160"/>
      <c r="L805" s="160"/>
      <c r="M805" s="160"/>
    </row>
    <row r="806" spans="2:13">
      <c r="B806" s="400"/>
      <c r="C806" s="160"/>
      <c r="D806" s="160"/>
      <c r="E806" s="160"/>
      <c r="F806" s="160"/>
      <c r="G806" s="160"/>
      <c r="H806" s="160"/>
      <c r="I806" s="160"/>
      <c r="J806" s="160"/>
      <c r="K806" s="160"/>
      <c r="L806" s="160"/>
      <c r="M806" s="160"/>
    </row>
    <row r="807" spans="2:13">
      <c r="B807" s="400"/>
      <c r="C807" s="160"/>
      <c r="D807" s="160"/>
      <c r="E807" s="160"/>
      <c r="F807" s="160"/>
      <c r="G807" s="160"/>
      <c r="H807" s="160"/>
      <c r="I807" s="160"/>
      <c r="J807" s="160"/>
      <c r="K807" s="160"/>
      <c r="L807" s="160"/>
      <c r="M807" s="160"/>
    </row>
    <row r="808" spans="2:13">
      <c r="B808" s="400"/>
      <c r="C808" s="160"/>
      <c r="D808" s="160"/>
      <c r="E808" s="160"/>
      <c r="F808" s="160"/>
      <c r="G808" s="160"/>
      <c r="H808" s="160"/>
      <c r="I808" s="160"/>
      <c r="J808" s="160"/>
      <c r="K808" s="160"/>
      <c r="L808" s="160"/>
      <c r="M808" s="160"/>
    </row>
    <row r="809" spans="2:13">
      <c r="B809" s="400"/>
      <c r="C809" s="160"/>
      <c r="D809" s="160"/>
      <c r="E809" s="160"/>
      <c r="F809" s="160"/>
      <c r="G809" s="160"/>
      <c r="H809" s="160"/>
      <c r="I809" s="160"/>
      <c r="J809" s="160"/>
      <c r="K809" s="160"/>
      <c r="L809" s="160"/>
      <c r="M809" s="160"/>
    </row>
    <row r="810" spans="2:13">
      <c r="B810" s="400"/>
      <c r="C810" s="160"/>
      <c r="D810" s="160"/>
      <c r="E810" s="160"/>
      <c r="F810" s="160"/>
      <c r="G810" s="160"/>
      <c r="H810" s="160"/>
      <c r="I810" s="160"/>
      <c r="J810" s="160"/>
      <c r="K810" s="160"/>
      <c r="L810" s="160"/>
      <c r="M810" s="160"/>
    </row>
    <row r="811" spans="2:13">
      <c r="B811" s="400"/>
      <c r="C811" s="160"/>
      <c r="D811" s="160"/>
      <c r="E811" s="160"/>
      <c r="F811" s="160"/>
      <c r="G811" s="160"/>
      <c r="H811" s="160"/>
      <c r="I811" s="160"/>
      <c r="J811" s="160"/>
      <c r="K811" s="160"/>
      <c r="L811" s="160"/>
      <c r="M811" s="160"/>
    </row>
    <row r="812" spans="2:13">
      <c r="B812" s="400"/>
      <c r="C812" s="160"/>
      <c r="D812" s="160"/>
      <c r="E812" s="160"/>
      <c r="F812" s="160"/>
      <c r="G812" s="160"/>
      <c r="H812" s="160"/>
      <c r="I812" s="160"/>
      <c r="J812" s="160"/>
      <c r="K812" s="160"/>
      <c r="L812" s="160"/>
      <c r="M812" s="160"/>
    </row>
    <row r="813" spans="2:13">
      <c r="B813" s="400"/>
      <c r="C813" s="160"/>
      <c r="D813" s="160"/>
      <c r="E813" s="160"/>
      <c r="F813" s="160"/>
      <c r="G813" s="160"/>
      <c r="H813" s="160"/>
      <c r="I813" s="160"/>
      <c r="J813" s="160"/>
      <c r="K813" s="160"/>
      <c r="L813" s="160"/>
      <c r="M813" s="160"/>
    </row>
    <row r="814" spans="2:13">
      <c r="B814" s="400"/>
      <c r="C814" s="160"/>
      <c r="D814" s="160"/>
      <c r="E814" s="160"/>
      <c r="F814" s="160"/>
      <c r="G814" s="160"/>
      <c r="H814" s="160"/>
      <c r="I814" s="160"/>
      <c r="J814" s="160"/>
      <c r="K814" s="160"/>
      <c r="L814" s="160"/>
      <c r="M814" s="160"/>
    </row>
    <row r="815" spans="2:13">
      <c r="B815" s="400"/>
      <c r="C815" s="160"/>
      <c r="D815" s="160"/>
      <c r="E815" s="160"/>
      <c r="F815" s="160"/>
      <c r="G815" s="160"/>
      <c r="H815" s="160"/>
      <c r="I815" s="160"/>
      <c r="J815" s="160"/>
      <c r="K815" s="160"/>
      <c r="L815" s="160"/>
      <c r="M815" s="160"/>
    </row>
    <row r="816" spans="2:13">
      <c r="B816" s="400"/>
      <c r="C816" s="160"/>
      <c r="D816" s="160"/>
      <c r="E816" s="160"/>
      <c r="F816" s="160"/>
      <c r="G816" s="160"/>
      <c r="H816" s="160"/>
      <c r="I816" s="160"/>
      <c r="J816" s="160"/>
      <c r="K816" s="160"/>
      <c r="L816" s="160"/>
      <c r="M816" s="160"/>
    </row>
    <row r="817" spans="2:13">
      <c r="B817" s="400"/>
      <c r="C817" s="160"/>
      <c r="D817" s="160"/>
      <c r="E817" s="160"/>
      <c r="F817" s="160"/>
      <c r="G817" s="160"/>
      <c r="H817" s="160"/>
      <c r="I817" s="160"/>
      <c r="J817" s="160"/>
      <c r="K817" s="160"/>
      <c r="L817" s="160"/>
      <c r="M817" s="160"/>
    </row>
    <row r="818" spans="2:13">
      <c r="B818" s="400"/>
      <c r="C818" s="160"/>
      <c r="D818" s="160"/>
      <c r="E818" s="160"/>
      <c r="F818" s="160"/>
      <c r="G818" s="160"/>
      <c r="H818" s="160"/>
      <c r="I818" s="160"/>
      <c r="J818" s="160"/>
      <c r="K818" s="160"/>
      <c r="L818" s="160"/>
      <c r="M818" s="160"/>
    </row>
    <row r="819" spans="2:13">
      <c r="B819" s="400"/>
      <c r="C819" s="160"/>
      <c r="D819" s="160"/>
      <c r="E819" s="160"/>
      <c r="F819" s="160"/>
      <c r="G819" s="160"/>
      <c r="H819" s="160"/>
      <c r="I819" s="160"/>
      <c r="J819" s="160"/>
      <c r="K819" s="160"/>
      <c r="L819" s="160"/>
      <c r="M819" s="160"/>
    </row>
    <row r="820" spans="2:13">
      <c r="B820" s="400"/>
      <c r="C820" s="160"/>
      <c r="D820" s="160"/>
      <c r="E820" s="160"/>
      <c r="F820" s="160"/>
      <c r="G820" s="160"/>
      <c r="H820" s="160"/>
      <c r="I820" s="160"/>
      <c r="J820" s="160"/>
      <c r="K820" s="160"/>
      <c r="L820" s="160"/>
      <c r="M820" s="160"/>
    </row>
    <row r="821" spans="2:13">
      <c r="B821" s="400"/>
      <c r="C821" s="160"/>
      <c r="D821" s="160"/>
      <c r="E821" s="160"/>
      <c r="F821" s="160"/>
      <c r="G821" s="160"/>
      <c r="H821" s="160"/>
      <c r="I821" s="160"/>
      <c r="J821" s="160"/>
      <c r="K821" s="160"/>
      <c r="L821" s="160"/>
      <c r="M821" s="160"/>
    </row>
    <row r="822" spans="2:13">
      <c r="B822" s="400"/>
      <c r="C822" s="160"/>
      <c r="D822" s="160"/>
      <c r="E822" s="160"/>
      <c r="F822" s="160"/>
      <c r="G822" s="160"/>
      <c r="H822" s="160"/>
      <c r="I822" s="160"/>
      <c r="J822" s="160"/>
      <c r="K822" s="160"/>
      <c r="L822" s="160"/>
      <c r="M822" s="160"/>
    </row>
    <row r="823" spans="2:13">
      <c r="B823" s="400"/>
      <c r="C823" s="160"/>
      <c r="D823" s="160"/>
      <c r="E823" s="160"/>
      <c r="F823" s="160"/>
      <c r="G823" s="160"/>
      <c r="H823" s="160"/>
      <c r="I823" s="160"/>
      <c r="J823" s="160"/>
      <c r="K823" s="160"/>
      <c r="L823" s="160"/>
      <c r="M823" s="160"/>
    </row>
    <row r="824" spans="2:13">
      <c r="B824" s="400"/>
      <c r="C824" s="160"/>
      <c r="D824" s="160"/>
      <c r="E824" s="160"/>
      <c r="F824" s="160"/>
      <c r="G824" s="160"/>
      <c r="H824" s="160"/>
      <c r="I824" s="160"/>
      <c r="J824" s="160"/>
      <c r="K824" s="160"/>
      <c r="L824" s="160"/>
      <c r="M824" s="160"/>
    </row>
    <row r="825" spans="2:13">
      <c r="B825" s="400"/>
      <c r="C825" s="160"/>
      <c r="D825" s="160"/>
      <c r="E825" s="160"/>
      <c r="F825" s="160"/>
      <c r="G825" s="160"/>
      <c r="H825" s="160"/>
      <c r="I825" s="160"/>
      <c r="J825" s="160"/>
      <c r="K825" s="160"/>
      <c r="L825" s="160"/>
      <c r="M825" s="160"/>
    </row>
    <row r="826" spans="2:13">
      <c r="B826" s="400"/>
      <c r="C826" s="160"/>
      <c r="D826" s="160"/>
      <c r="E826" s="160"/>
      <c r="F826" s="160"/>
      <c r="G826" s="160"/>
      <c r="H826" s="160"/>
      <c r="I826" s="160"/>
      <c r="J826" s="160"/>
      <c r="K826" s="160"/>
      <c r="L826" s="160"/>
      <c r="M826" s="160"/>
    </row>
    <row r="827" spans="2:13">
      <c r="B827" s="400"/>
      <c r="C827" s="160"/>
      <c r="D827" s="160"/>
      <c r="E827" s="160"/>
      <c r="F827" s="160"/>
      <c r="G827" s="160"/>
      <c r="H827" s="160"/>
      <c r="I827" s="160"/>
      <c r="J827" s="160"/>
      <c r="K827" s="160"/>
      <c r="L827" s="160"/>
      <c r="M827" s="160"/>
    </row>
    <row r="828" spans="2:13">
      <c r="B828" s="400"/>
      <c r="C828" s="160"/>
      <c r="D828" s="160"/>
      <c r="E828" s="160"/>
      <c r="F828" s="160"/>
      <c r="G828" s="160"/>
      <c r="H828" s="160"/>
      <c r="I828" s="160"/>
      <c r="J828" s="160"/>
      <c r="K828" s="160"/>
      <c r="L828" s="160"/>
      <c r="M828" s="160"/>
    </row>
    <row r="829" spans="2:13">
      <c r="B829" s="400"/>
      <c r="C829" s="160"/>
      <c r="D829" s="160"/>
      <c r="E829" s="160"/>
      <c r="F829" s="160"/>
      <c r="G829" s="160"/>
      <c r="H829" s="160"/>
      <c r="I829" s="160"/>
      <c r="J829" s="160"/>
      <c r="K829" s="160"/>
      <c r="L829" s="160"/>
      <c r="M829" s="160"/>
    </row>
    <row r="830" spans="2:13">
      <c r="B830" s="400"/>
      <c r="C830" s="160"/>
      <c r="D830" s="160"/>
      <c r="E830" s="160"/>
      <c r="F830" s="160"/>
      <c r="G830" s="160"/>
      <c r="H830" s="160"/>
      <c r="I830" s="160"/>
      <c r="J830" s="160"/>
      <c r="K830" s="160"/>
      <c r="L830" s="160"/>
      <c r="M830" s="160"/>
    </row>
    <row r="831" spans="2:13">
      <c r="B831" s="400"/>
      <c r="C831" s="160"/>
      <c r="D831" s="160"/>
      <c r="E831" s="160"/>
      <c r="F831" s="160"/>
      <c r="G831" s="160"/>
      <c r="H831" s="160"/>
      <c r="I831" s="160"/>
      <c r="J831" s="160"/>
      <c r="K831" s="160"/>
      <c r="L831" s="160"/>
      <c r="M831" s="160"/>
    </row>
    <row r="832" spans="2:13">
      <c r="B832" s="400"/>
      <c r="C832" s="160"/>
      <c r="D832" s="160"/>
      <c r="E832" s="160"/>
      <c r="F832" s="160"/>
      <c r="G832" s="160"/>
      <c r="H832" s="160"/>
      <c r="I832" s="160"/>
      <c r="J832" s="160"/>
      <c r="K832" s="160"/>
      <c r="L832" s="160"/>
      <c r="M832" s="160"/>
    </row>
    <row r="833" spans="2:13">
      <c r="B833" s="400"/>
      <c r="C833" s="160"/>
      <c r="D833" s="160"/>
      <c r="E833" s="160"/>
      <c r="F833" s="160"/>
      <c r="G833" s="160"/>
      <c r="H833" s="160"/>
      <c r="I833" s="160"/>
      <c r="J833" s="160"/>
      <c r="K833" s="160"/>
      <c r="L833" s="160"/>
      <c r="M833" s="160"/>
    </row>
    <row r="834" spans="2:13">
      <c r="B834" s="400"/>
      <c r="C834" s="160"/>
      <c r="D834" s="160"/>
      <c r="E834" s="160"/>
      <c r="F834" s="160"/>
      <c r="G834" s="160"/>
      <c r="H834" s="160"/>
      <c r="I834" s="160"/>
      <c r="J834" s="160"/>
      <c r="K834" s="160"/>
      <c r="L834" s="160"/>
      <c r="M834" s="160"/>
    </row>
    <row r="835" spans="2:13">
      <c r="B835" s="400"/>
      <c r="C835" s="160"/>
      <c r="D835" s="160"/>
      <c r="E835" s="160"/>
      <c r="F835" s="160"/>
      <c r="G835" s="160"/>
      <c r="H835" s="160"/>
      <c r="I835" s="160"/>
      <c r="J835" s="160"/>
      <c r="K835" s="160"/>
      <c r="L835" s="160"/>
      <c r="M835" s="160"/>
    </row>
    <row r="836" spans="2:13">
      <c r="B836" s="400"/>
      <c r="C836" s="160"/>
      <c r="D836" s="160"/>
      <c r="E836" s="160"/>
      <c r="F836" s="160"/>
      <c r="G836" s="160"/>
      <c r="H836" s="160"/>
      <c r="I836" s="160"/>
      <c r="J836" s="160"/>
      <c r="K836" s="160"/>
      <c r="L836" s="160"/>
      <c r="M836" s="160"/>
    </row>
    <row r="837" spans="2:13">
      <c r="B837" s="400"/>
      <c r="C837" s="160"/>
      <c r="D837" s="160"/>
      <c r="E837" s="160"/>
      <c r="F837" s="160"/>
      <c r="G837" s="160"/>
      <c r="H837" s="160"/>
      <c r="I837" s="160"/>
      <c r="J837" s="160"/>
      <c r="K837" s="160"/>
      <c r="L837" s="160"/>
      <c r="M837" s="160"/>
    </row>
    <row r="838" spans="2:13">
      <c r="B838" s="400"/>
      <c r="C838" s="160"/>
      <c r="D838" s="160"/>
      <c r="E838" s="160"/>
      <c r="F838" s="160"/>
      <c r="G838" s="160"/>
      <c r="H838" s="160"/>
      <c r="I838" s="160"/>
      <c r="J838" s="160"/>
      <c r="K838" s="160"/>
      <c r="L838" s="160"/>
      <c r="M838" s="160"/>
    </row>
    <row r="839" spans="2:13">
      <c r="B839" s="400"/>
      <c r="C839" s="160"/>
      <c r="D839" s="160"/>
      <c r="E839" s="160"/>
      <c r="F839" s="160"/>
      <c r="G839" s="160"/>
      <c r="H839" s="160"/>
      <c r="I839" s="160"/>
      <c r="J839" s="160"/>
      <c r="K839" s="160"/>
      <c r="L839" s="160"/>
      <c r="M839" s="160"/>
    </row>
    <row r="840" spans="2:13">
      <c r="B840" s="400"/>
      <c r="C840" s="160"/>
      <c r="D840" s="160"/>
      <c r="E840" s="160"/>
      <c r="F840" s="160"/>
      <c r="G840" s="160"/>
      <c r="H840" s="160"/>
      <c r="I840" s="160"/>
      <c r="J840" s="160"/>
      <c r="K840" s="160"/>
      <c r="L840" s="160"/>
      <c r="M840" s="160"/>
    </row>
    <row r="841" spans="2:13">
      <c r="B841" s="400"/>
      <c r="C841" s="160"/>
      <c r="D841" s="160"/>
      <c r="E841" s="160"/>
      <c r="F841" s="160"/>
      <c r="G841" s="160"/>
      <c r="H841" s="160"/>
      <c r="I841" s="160"/>
      <c r="J841" s="160"/>
      <c r="K841" s="160"/>
      <c r="L841" s="160"/>
      <c r="M841" s="160"/>
    </row>
    <row r="842" spans="2:13">
      <c r="B842" s="400"/>
      <c r="C842" s="160"/>
      <c r="D842" s="160"/>
      <c r="E842" s="160"/>
      <c r="F842" s="160"/>
      <c r="G842" s="160"/>
      <c r="H842" s="160"/>
      <c r="I842" s="160"/>
      <c r="J842" s="160"/>
      <c r="K842" s="160"/>
      <c r="L842" s="160"/>
      <c r="M842" s="160"/>
    </row>
    <row r="843" spans="2:13">
      <c r="B843" s="400"/>
      <c r="C843" s="160"/>
      <c r="D843" s="160"/>
      <c r="E843" s="160"/>
      <c r="F843" s="160"/>
      <c r="G843" s="160"/>
      <c r="H843" s="160"/>
      <c r="I843" s="160"/>
      <c r="J843" s="160"/>
      <c r="K843" s="160"/>
      <c r="L843" s="160"/>
      <c r="M843" s="160"/>
    </row>
    <row r="844" spans="2:13">
      <c r="B844" s="400"/>
      <c r="C844" s="160"/>
      <c r="D844" s="160"/>
      <c r="E844" s="160"/>
      <c r="F844" s="160"/>
      <c r="G844" s="160"/>
      <c r="H844" s="160"/>
      <c r="I844" s="160"/>
      <c r="J844" s="160"/>
      <c r="K844" s="160"/>
      <c r="L844" s="160"/>
      <c r="M844" s="160"/>
    </row>
    <row r="845" spans="2:13">
      <c r="B845" s="400"/>
      <c r="C845" s="160"/>
      <c r="D845" s="160"/>
      <c r="E845" s="160"/>
      <c r="F845" s="160"/>
      <c r="G845" s="160"/>
      <c r="H845" s="160"/>
      <c r="I845" s="160"/>
      <c r="J845" s="160"/>
      <c r="K845" s="160"/>
      <c r="L845" s="160"/>
      <c r="M845" s="160"/>
    </row>
    <row r="846" spans="2:13">
      <c r="B846" s="400"/>
      <c r="C846" s="160"/>
      <c r="D846" s="160"/>
      <c r="E846" s="160"/>
      <c r="F846" s="160"/>
      <c r="G846" s="160"/>
      <c r="H846" s="160"/>
      <c r="I846" s="160"/>
      <c r="J846" s="160"/>
      <c r="K846" s="160"/>
      <c r="L846" s="160"/>
      <c r="M846" s="160"/>
    </row>
    <row r="847" spans="2:13">
      <c r="B847" s="400"/>
      <c r="C847" s="160"/>
      <c r="D847" s="160"/>
      <c r="E847" s="160"/>
      <c r="F847" s="160"/>
      <c r="G847" s="160"/>
      <c r="H847" s="160"/>
      <c r="I847" s="160"/>
      <c r="J847" s="160"/>
      <c r="K847" s="160"/>
      <c r="L847" s="160"/>
      <c r="M847" s="160"/>
    </row>
    <row r="848" spans="2:13">
      <c r="B848" s="400"/>
      <c r="C848" s="160"/>
      <c r="D848" s="160"/>
      <c r="E848" s="160"/>
      <c r="F848" s="160"/>
      <c r="G848" s="160"/>
      <c r="H848" s="160"/>
      <c r="I848" s="160"/>
      <c r="J848" s="160"/>
      <c r="K848" s="160"/>
      <c r="L848" s="160"/>
      <c r="M848" s="160"/>
    </row>
    <row r="849" spans="2:13">
      <c r="B849" s="400"/>
      <c r="C849" s="160"/>
      <c r="D849" s="160"/>
      <c r="E849" s="160"/>
      <c r="F849" s="160"/>
      <c r="G849" s="160"/>
      <c r="H849" s="160"/>
      <c r="I849" s="160"/>
      <c r="J849" s="160"/>
      <c r="K849" s="160"/>
      <c r="L849" s="160"/>
      <c r="M849" s="160"/>
    </row>
    <row r="850" spans="2:13">
      <c r="B850" s="400"/>
      <c r="C850" s="160"/>
      <c r="D850" s="160"/>
      <c r="E850" s="160"/>
      <c r="F850" s="160"/>
      <c r="G850" s="160"/>
      <c r="H850" s="160"/>
      <c r="I850" s="160"/>
      <c r="J850" s="160"/>
      <c r="K850" s="160"/>
      <c r="L850" s="160"/>
      <c r="M850" s="160"/>
    </row>
    <row r="851" spans="2:13">
      <c r="B851" s="400"/>
      <c r="C851" s="160"/>
      <c r="D851" s="160"/>
      <c r="E851" s="160"/>
      <c r="F851" s="160"/>
      <c r="G851" s="160"/>
      <c r="H851" s="160"/>
      <c r="I851" s="160"/>
      <c r="J851" s="160"/>
      <c r="K851" s="160"/>
      <c r="L851" s="160"/>
      <c r="M851" s="160"/>
    </row>
    <row r="852" spans="2:13">
      <c r="B852" s="400"/>
      <c r="C852" s="160"/>
      <c r="D852" s="160"/>
      <c r="E852" s="160"/>
      <c r="F852" s="160"/>
      <c r="G852" s="160"/>
      <c r="H852" s="160"/>
      <c r="I852" s="160"/>
      <c r="J852" s="160"/>
      <c r="K852" s="160"/>
      <c r="L852" s="160"/>
      <c r="M852" s="160"/>
    </row>
    <row r="853" spans="2:13">
      <c r="B853" s="400"/>
      <c r="C853" s="160"/>
      <c r="D853" s="160"/>
      <c r="E853" s="160"/>
      <c r="F853" s="160"/>
      <c r="G853" s="160"/>
      <c r="H853" s="160"/>
      <c r="I853" s="160"/>
      <c r="J853" s="160"/>
      <c r="K853" s="160"/>
      <c r="L853" s="160"/>
      <c r="M853" s="160"/>
    </row>
    <row r="854" spans="2:13">
      <c r="B854" s="400"/>
      <c r="C854" s="160"/>
      <c r="D854" s="160"/>
      <c r="E854" s="160"/>
      <c r="F854" s="160"/>
      <c r="G854" s="160"/>
      <c r="H854" s="160"/>
      <c r="I854" s="160"/>
      <c r="J854" s="160"/>
      <c r="K854" s="160"/>
      <c r="L854" s="160"/>
      <c r="M854" s="160"/>
    </row>
    <row r="855" spans="2:13">
      <c r="B855" s="400"/>
      <c r="C855" s="160"/>
      <c r="D855" s="160"/>
      <c r="E855" s="160"/>
      <c r="F855" s="160"/>
      <c r="G855" s="160"/>
      <c r="H855" s="160"/>
      <c r="I855" s="160"/>
      <c r="J855" s="160"/>
      <c r="K855" s="160"/>
      <c r="L855" s="160"/>
      <c r="M855" s="160"/>
    </row>
    <row r="856" spans="2:13">
      <c r="B856" s="400"/>
      <c r="C856" s="160"/>
      <c r="D856" s="160"/>
      <c r="E856" s="160"/>
      <c r="F856" s="160"/>
      <c r="G856" s="160"/>
      <c r="H856" s="160"/>
      <c r="I856" s="160"/>
      <c r="J856" s="160"/>
      <c r="K856" s="160"/>
      <c r="L856" s="160"/>
      <c r="M856" s="160"/>
    </row>
    <row r="857" spans="2:13">
      <c r="B857" s="400"/>
      <c r="C857" s="160"/>
      <c r="D857" s="160"/>
      <c r="E857" s="160"/>
      <c r="F857" s="160"/>
      <c r="G857" s="160"/>
      <c r="H857" s="160"/>
      <c r="I857" s="160"/>
      <c r="J857" s="160"/>
      <c r="K857" s="160"/>
      <c r="L857" s="160"/>
      <c r="M857" s="160"/>
    </row>
    <row r="858" spans="2:13">
      <c r="B858" s="400"/>
      <c r="C858" s="160"/>
      <c r="D858" s="160"/>
      <c r="E858" s="160"/>
      <c r="F858" s="160"/>
      <c r="G858" s="160"/>
      <c r="H858" s="160"/>
      <c r="I858" s="160"/>
      <c r="J858" s="160"/>
      <c r="K858" s="160"/>
      <c r="L858" s="160"/>
      <c r="M858" s="160"/>
    </row>
    <row r="859" spans="2:13">
      <c r="B859" s="400"/>
      <c r="C859" s="160"/>
      <c r="D859" s="160"/>
      <c r="E859" s="160"/>
      <c r="F859" s="160"/>
      <c r="G859" s="160"/>
      <c r="H859" s="160"/>
      <c r="I859" s="160"/>
      <c r="J859" s="160"/>
      <c r="K859" s="160"/>
      <c r="L859" s="160"/>
      <c r="M859" s="160"/>
    </row>
    <row r="860" spans="2:13">
      <c r="B860" s="400"/>
      <c r="C860" s="160"/>
      <c r="D860" s="160"/>
      <c r="E860" s="160"/>
      <c r="F860" s="160"/>
      <c r="G860" s="160"/>
      <c r="H860" s="160"/>
      <c r="I860" s="160"/>
      <c r="J860" s="160"/>
      <c r="K860" s="160"/>
      <c r="L860" s="160"/>
      <c r="M860" s="160"/>
    </row>
    <row r="861" spans="2:13">
      <c r="B861" s="400"/>
      <c r="C861" s="160"/>
      <c r="D861" s="160"/>
      <c r="E861" s="160"/>
      <c r="F861" s="160"/>
      <c r="G861" s="160"/>
      <c r="H861" s="160"/>
      <c r="I861" s="160"/>
      <c r="J861" s="160"/>
      <c r="K861" s="160"/>
      <c r="L861" s="160"/>
      <c r="M861" s="160"/>
    </row>
    <row r="862" spans="2:13">
      <c r="B862" s="400"/>
      <c r="C862" s="160"/>
      <c r="D862" s="160"/>
      <c r="E862" s="160"/>
      <c r="F862" s="160"/>
      <c r="G862" s="160"/>
      <c r="H862" s="160"/>
      <c r="I862" s="160"/>
      <c r="J862" s="160"/>
      <c r="K862" s="160"/>
      <c r="L862" s="160"/>
      <c r="M862" s="160"/>
    </row>
    <row r="863" spans="2:13">
      <c r="B863" s="400"/>
      <c r="C863" s="160"/>
      <c r="D863" s="160"/>
      <c r="E863" s="160"/>
      <c r="F863" s="160"/>
      <c r="G863" s="160"/>
      <c r="H863" s="160"/>
      <c r="I863" s="160"/>
      <c r="J863" s="160"/>
      <c r="K863" s="160"/>
      <c r="L863" s="160"/>
      <c r="M863" s="160"/>
    </row>
    <row r="864" spans="2:13">
      <c r="B864" s="400"/>
      <c r="C864" s="160"/>
      <c r="D864" s="160"/>
      <c r="E864" s="160"/>
      <c r="F864" s="160"/>
      <c r="G864" s="160"/>
      <c r="H864" s="160"/>
      <c r="I864" s="160"/>
      <c r="J864" s="160"/>
      <c r="K864" s="160"/>
      <c r="L864" s="160"/>
      <c r="M864" s="160"/>
    </row>
    <row r="865" spans="2:13">
      <c r="B865" s="400"/>
      <c r="C865" s="160"/>
      <c r="D865" s="160"/>
      <c r="E865" s="160"/>
      <c r="F865" s="160"/>
      <c r="G865" s="160"/>
      <c r="H865" s="160"/>
      <c r="I865" s="160"/>
      <c r="J865" s="160"/>
      <c r="K865" s="160"/>
      <c r="L865" s="160"/>
      <c r="M865" s="160"/>
    </row>
    <row r="866" spans="2:13">
      <c r="B866" s="400"/>
      <c r="C866" s="160"/>
      <c r="D866" s="160"/>
      <c r="E866" s="160"/>
      <c r="F866" s="160"/>
      <c r="G866" s="160"/>
      <c r="H866" s="160"/>
      <c r="I866" s="160"/>
      <c r="J866" s="160"/>
      <c r="K866" s="160"/>
      <c r="L866" s="160"/>
      <c r="M866" s="160"/>
    </row>
    <row r="867" spans="2:13">
      <c r="B867" s="400"/>
      <c r="C867" s="160"/>
      <c r="D867" s="160"/>
      <c r="E867" s="160"/>
      <c r="F867" s="160"/>
      <c r="G867" s="160"/>
      <c r="H867" s="160"/>
      <c r="I867" s="160"/>
      <c r="J867" s="160"/>
      <c r="K867" s="160"/>
      <c r="L867" s="160"/>
      <c r="M867" s="160"/>
    </row>
    <row r="868" spans="2:13">
      <c r="B868" s="400"/>
      <c r="C868" s="160"/>
      <c r="D868" s="160"/>
      <c r="E868" s="160"/>
      <c r="F868" s="160"/>
      <c r="G868" s="160"/>
      <c r="H868" s="160"/>
      <c r="I868" s="160"/>
      <c r="J868" s="160"/>
      <c r="K868" s="160"/>
      <c r="L868" s="160"/>
      <c r="M868" s="160"/>
    </row>
    <row r="869" spans="2:13">
      <c r="B869" s="400"/>
      <c r="C869" s="160"/>
      <c r="D869" s="160"/>
      <c r="E869" s="160"/>
      <c r="F869" s="160"/>
      <c r="G869" s="160"/>
      <c r="H869" s="160"/>
      <c r="I869" s="160"/>
      <c r="J869" s="160"/>
      <c r="K869" s="160"/>
      <c r="L869" s="160"/>
      <c r="M869" s="160"/>
    </row>
    <row r="870" spans="2:13">
      <c r="B870" s="400"/>
      <c r="C870" s="160"/>
      <c r="D870" s="160"/>
      <c r="E870" s="160"/>
      <c r="F870" s="160"/>
      <c r="G870" s="160"/>
      <c r="H870" s="160"/>
      <c r="I870" s="160"/>
      <c r="J870" s="160"/>
      <c r="K870" s="160"/>
      <c r="L870" s="160"/>
      <c r="M870" s="160"/>
    </row>
    <row r="871" spans="2:13">
      <c r="B871" s="400"/>
      <c r="C871" s="160"/>
      <c r="D871" s="160"/>
      <c r="E871" s="160"/>
      <c r="F871" s="160"/>
      <c r="G871" s="160"/>
      <c r="H871" s="160"/>
      <c r="I871" s="160"/>
      <c r="J871" s="160"/>
      <c r="K871" s="160"/>
      <c r="L871" s="160"/>
      <c r="M871" s="160"/>
    </row>
    <row r="872" spans="2:13">
      <c r="B872" s="400"/>
      <c r="C872" s="160"/>
      <c r="D872" s="160"/>
      <c r="E872" s="160"/>
      <c r="F872" s="160"/>
      <c r="G872" s="160"/>
      <c r="H872" s="160"/>
      <c r="I872" s="160"/>
      <c r="J872" s="160"/>
      <c r="K872" s="160"/>
      <c r="L872" s="160"/>
      <c r="M872" s="160"/>
    </row>
    <row r="873" spans="2:13">
      <c r="B873" s="400"/>
      <c r="C873" s="160"/>
      <c r="D873" s="160"/>
      <c r="E873" s="160"/>
      <c r="F873" s="160"/>
      <c r="G873" s="160"/>
      <c r="H873" s="160"/>
      <c r="I873" s="160"/>
      <c r="J873" s="160"/>
      <c r="K873" s="160"/>
      <c r="L873" s="160"/>
      <c r="M873" s="160"/>
    </row>
    <row r="874" spans="2:13">
      <c r="B874" s="400"/>
      <c r="C874" s="160"/>
      <c r="D874" s="160"/>
      <c r="E874" s="160"/>
      <c r="F874" s="160"/>
      <c r="G874" s="160"/>
      <c r="H874" s="160"/>
      <c r="I874" s="160"/>
      <c r="J874" s="160"/>
      <c r="K874" s="160"/>
      <c r="L874" s="160"/>
      <c r="M874" s="160"/>
    </row>
    <row r="875" spans="2:13">
      <c r="B875" s="400"/>
      <c r="C875" s="160"/>
      <c r="D875" s="160"/>
      <c r="E875" s="160"/>
      <c r="F875" s="160"/>
      <c r="G875" s="160"/>
      <c r="H875" s="160"/>
      <c r="I875" s="160"/>
      <c r="J875" s="160"/>
      <c r="K875" s="160"/>
      <c r="L875" s="160"/>
      <c r="M875" s="160"/>
    </row>
    <row r="876" spans="2:13">
      <c r="B876" s="400"/>
      <c r="C876" s="160"/>
      <c r="D876" s="160"/>
      <c r="E876" s="160"/>
      <c r="F876" s="160"/>
      <c r="G876" s="160"/>
      <c r="H876" s="160"/>
      <c r="I876" s="160"/>
      <c r="J876" s="160"/>
      <c r="K876" s="160"/>
      <c r="L876" s="160"/>
      <c r="M876" s="160"/>
    </row>
    <row r="877" spans="2:13">
      <c r="B877" s="400"/>
      <c r="C877" s="160"/>
      <c r="D877" s="160"/>
      <c r="E877" s="160"/>
      <c r="F877" s="160"/>
      <c r="G877" s="160"/>
      <c r="H877" s="160"/>
      <c r="I877" s="160"/>
      <c r="J877" s="160"/>
      <c r="K877" s="160"/>
      <c r="L877" s="160"/>
      <c r="M877" s="160"/>
    </row>
    <row r="878" spans="2:13">
      <c r="B878" s="400"/>
      <c r="C878" s="160"/>
      <c r="D878" s="160"/>
      <c r="E878" s="160"/>
      <c r="F878" s="160"/>
      <c r="G878" s="160"/>
      <c r="H878" s="160"/>
      <c r="I878" s="160"/>
      <c r="J878" s="160"/>
      <c r="K878" s="160"/>
      <c r="L878" s="160"/>
      <c r="M878" s="160"/>
    </row>
    <row r="879" spans="2:13">
      <c r="B879" s="400"/>
      <c r="C879" s="160"/>
      <c r="D879" s="160"/>
      <c r="E879" s="160"/>
      <c r="F879" s="160"/>
      <c r="G879" s="160"/>
      <c r="H879" s="160"/>
      <c r="I879" s="160"/>
      <c r="J879" s="160"/>
      <c r="K879" s="160"/>
      <c r="L879" s="160"/>
      <c r="M879" s="160"/>
    </row>
    <row r="880" spans="2:13">
      <c r="B880" s="400"/>
      <c r="C880" s="160"/>
      <c r="D880" s="160"/>
      <c r="E880" s="160"/>
      <c r="F880" s="160"/>
      <c r="G880" s="160"/>
      <c r="H880" s="160"/>
      <c r="I880" s="160"/>
      <c r="J880" s="160"/>
      <c r="K880" s="160"/>
      <c r="L880" s="160"/>
      <c r="M880" s="160"/>
    </row>
    <row r="881" spans="2:13">
      <c r="B881" s="400"/>
      <c r="C881" s="160"/>
      <c r="D881" s="160"/>
      <c r="E881" s="160"/>
      <c r="F881" s="160"/>
      <c r="G881" s="160"/>
      <c r="H881" s="160"/>
      <c r="I881" s="160"/>
      <c r="J881" s="160"/>
      <c r="K881" s="160"/>
      <c r="L881" s="160"/>
      <c r="M881" s="160"/>
    </row>
    <row r="882" spans="2:13">
      <c r="B882" s="400"/>
      <c r="C882" s="160"/>
      <c r="D882" s="160"/>
      <c r="E882" s="160"/>
      <c r="F882" s="160"/>
      <c r="G882" s="160"/>
      <c r="H882" s="160"/>
      <c r="I882" s="160"/>
      <c r="J882" s="160"/>
      <c r="K882" s="160"/>
      <c r="L882" s="160"/>
      <c r="M882" s="160"/>
    </row>
    <row r="883" spans="2:13">
      <c r="B883" s="400"/>
      <c r="C883" s="160"/>
      <c r="D883" s="160"/>
      <c r="E883" s="160"/>
      <c r="F883" s="160"/>
      <c r="G883" s="160"/>
      <c r="H883" s="160"/>
      <c r="I883" s="160"/>
      <c r="J883" s="160"/>
      <c r="K883" s="160"/>
      <c r="L883" s="160"/>
      <c r="M883" s="160"/>
    </row>
    <row r="884" spans="2:13">
      <c r="B884" s="400"/>
      <c r="C884" s="160"/>
      <c r="D884" s="160"/>
      <c r="E884" s="160"/>
      <c r="F884" s="160"/>
      <c r="G884" s="160"/>
      <c r="H884" s="160"/>
      <c r="I884" s="160"/>
      <c r="J884" s="160"/>
      <c r="K884" s="160"/>
      <c r="L884" s="160"/>
      <c r="M884" s="160"/>
    </row>
    <row r="885" spans="2:13">
      <c r="B885" s="400"/>
      <c r="C885" s="160"/>
      <c r="D885" s="160"/>
      <c r="E885" s="160"/>
      <c r="F885" s="160"/>
      <c r="G885" s="160"/>
      <c r="H885" s="160"/>
      <c r="I885" s="160"/>
      <c r="J885" s="160"/>
      <c r="K885" s="160"/>
      <c r="L885" s="160"/>
      <c r="M885" s="160"/>
    </row>
    <row r="886" spans="2:13">
      <c r="B886" s="400"/>
      <c r="C886" s="160"/>
      <c r="D886" s="160"/>
      <c r="E886" s="160"/>
      <c r="F886" s="160"/>
      <c r="G886" s="160"/>
      <c r="H886" s="160"/>
      <c r="I886" s="160"/>
      <c r="J886" s="160"/>
      <c r="K886" s="160"/>
      <c r="L886" s="160"/>
      <c r="M886" s="160"/>
    </row>
    <row r="887" spans="2:13">
      <c r="B887" s="400"/>
      <c r="C887" s="160"/>
      <c r="D887" s="160"/>
      <c r="E887" s="160"/>
      <c r="F887" s="160"/>
      <c r="G887" s="160"/>
      <c r="H887" s="160"/>
      <c r="I887" s="160"/>
      <c r="J887" s="160"/>
      <c r="K887" s="160"/>
      <c r="L887" s="160"/>
      <c r="M887" s="160"/>
    </row>
    <row r="888" spans="2:13">
      <c r="B888" s="400"/>
      <c r="C888" s="160"/>
      <c r="D888" s="160"/>
      <c r="E888" s="160"/>
      <c r="F888" s="160"/>
      <c r="G888" s="160"/>
      <c r="H888" s="160"/>
      <c r="I888" s="160"/>
      <c r="J888" s="160"/>
      <c r="K888" s="160"/>
      <c r="L888" s="160"/>
      <c r="M888" s="160"/>
    </row>
    <row r="889" spans="2:13">
      <c r="B889" s="400"/>
      <c r="C889" s="160"/>
      <c r="D889" s="160"/>
      <c r="E889" s="160"/>
      <c r="F889" s="160"/>
      <c r="G889" s="160"/>
      <c r="H889" s="160"/>
      <c r="I889" s="160"/>
      <c r="J889" s="160"/>
      <c r="K889" s="160"/>
      <c r="L889" s="160"/>
      <c r="M889" s="160"/>
    </row>
    <row r="890" spans="2:13">
      <c r="B890" s="400"/>
      <c r="C890" s="160"/>
      <c r="D890" s="160"/>
      <c r="E890" s="160"/>
      <c r="F890" s="160"/>
      <c r="G890" s="160"/>
      <c r="H890" s="160"/>
      <c r="I890" s="160"/>
      <c r="J890" s="160"/>
      <c r="K890" s="160"/>
      <c r="L890" s="160"/>
      <c r="M890" s="160"/>
    </row>
    <row r="891" spans="2:13">
      <c r="B891" s="400"/>
      <c r="C891" s="160"/>
      <c r="D891" s="160"/>
      <c r="E891" s="160"/>
      <c r="F891" s="160"/>
      <c r="G891" s="160"/>
      <c r="H891" s="160"/>
      <c r="I891" s="160"/>
      <c r="J891" s="160"/>
      <c r="K891" s="160"/>
      <c r="L891" s="160"/>
      <c r="M891" s="160"/>
    </row>
    <row r="892" spans="2:13">
      <c r="B892" s="400"/>
      <c r="C892" s="160"/>
      <c r="D892" s="160"/>
      <c r="E892" s="160"/>
      <c r="F892" s="160"/>
      <c r="G892" s="160"/>
      <c r="H892" s="160"/>
      <c r="I892" s="160"/>
      <c r="J892" s="160"/>
      <c r="K892" s="160"/>
      <c r="L892" s="160"/>
      <c r="M892" s="160"/>
    </row>
    <row r="893" spans="2:13">
      <c r="B893" s="400"/>
      <c r="C893" s="160"/>
      <c r="D893" s="160"/>
      <c r="E893" s="160"/>
      <c r="F893" s="160"/>
      <c r="G893" s="160"/>
      <c r="H893" s="160"/>
      <c r="I893" s="160"/>
      <c r="J893" s="160"/>
      <c r="K893" s="160"/>
      <c r="L893" s="160"/>
      <c r="M893" s="160"/>
    </row>
    <row r="894" spans="2:13">
      <c r="B894" s="400"/>
      <c r="C894" s="160"/>
      <c r="D894" s="160"/>
      <c r="E894" s="160"/>
      <c r="F894" s="160"/>
      <c r="G894" s="160"/>
      <c r="H894" s="160"/>
      <c r="I894" s="160"/>
      <c r="J894" s="160"/>
      <c r="K894" s="160"/>
      <c r="L894" s="160"/>
      <c r="M894" s="160"/>
    </row>
    <row r="895" spans="2:13">
      <c r="B895" s="400"/>
      <c r="C895" s="160"/>
      <c r="D895" s="160"/>
      <c r="E895" s="160"/>
      <c r="F895" s="160"/>
      <c r="G895" s="160"/>
      <c r="H895" s="160"/>
      <c r="I895" s="160"/>
      <c r="J895" s="160"/>
      <c r="K895" s="160"/>
      <c r="L895" s="160"/>
      <c r="M895" s="160"/>
    </row>
    <row r="896" spans="2:13">
      <c r="B896" s="400"/>
      <c r="C896" s="160"/>
      <c r="D896" s="160"/>
      <c r="E896" s="160"/>
      <c r="F896" s="160"/>
      <c r="G896" s="160"/>
      <c r="H896" s="160"/>
      <c r="I896" s="160"/>
      <c r="J896" s="160"/>
      <c r="K896" s="160"/>
      <c r="L896" s="160"/>
      <c r="M896" s="160"/>
    </row>
    <row r="897" spans="2:13">
      <c r="B897" s="400"/>
      <c r="C897" s="160"/>
      <c r="D897" s="160"/>
      <c r="E897" s="160"/>
      <c r="F897" s="160"/>
      <c r="G897" s="160"/>
      <c r="H897" s="160"/>
      <c r="I897" s="160"/>
      <c r="J897" s="160"/>
      <c r="K897" s="160"/>
      <c r="L897" s="160"/>
      <c r="M897" s="160"/>
    </row>
    <row r="898" spans="2:13">
      <c r="B898" s="400"/>
      <c r="C898" s="160"/>
      <c r="D898" s="160"/>
      <c r="E898" s="160"/>
      <c r="F898" s="160"/>
      <c r="G898" s="160"/>
      <c r="H898" s="160"/>
      <c r="I898" s="160"/>
      <c r="J898" s="160"/>
      <c r="K898" s="160"/>
      <c r="L898" s="160"/>
      <c r="M898" s="160"/>
    </row>
    <row r="899" spans="2:13">
      <c r="B899" s="400"/>
      <c r="C899" s="160"/>
      <c r="D899" s="160"/>
      <c r="E899" s="160"/>
      <c r="F899" s="160"/>
      <c r="G899" s="160"/>
      <c r="H899" s="160"/>
      <c r="I899" s="160"/>
      <c r="J899" s="160"/>
      <c r="K899" s="160"/>
      <c r="L899" s="160"/>
      <c r="M899" s="160"/>
    </row>
    <row r="900" spans="2:13">
      <c r="B900" s="400"/>
      <c r="C900" s="160"/>
      <c r="D900" s="160"/>
      <c r="E900" s="160"/>
      <c r="F900" s="160"/>
      <c r="G900" s="160"/>
      <c r="H900" s="160"/>
      <c r="I900" s="160"/>
      <c r="J900" s="160"/>
      <c r="K900" s="160"/>
      <c r="L900" s="160"/>
      <c r="M900" s="160"/>
    </row>
    <row r="901" spans="2:13">
      <c r="B901" s="400"/>
      <c r="C901" s="160"/>
      <c r="D901" s="160"/>
      <c r="E901" s="160"/>
      <c r="F901" s="160"/>
      <c r="G901" s="160"/>
      <c r="H901" s="160"/>
      <c r="I901" s="160"/>
      <c r="J901" s="160"/>
      <c r="K901" s="160"/>
      <c r="L901" s="160"/>
      <c r="M901" s="160"/>
    </row>
    <row r="902" spans="2:13">
      <c r="B902" s="400"/>
      <c r="C902" s="160"/>
      <c r="D902" s="160"/>
      <c r="E902" s="160"/>
      <c r="F902" s="160"/>
      <c r="G902" s="160"/>
      <c r="H902" s="160"/>
      <c r="I902" s="160"/>
      <c r="J902" s="160"/>
      <c r="K902" s="160"/>
      <c r="L902" s="160"/>
      <c r="M902" s="160"/>
    </row>
    <row r="903" spans="2:13">
      <c r="B903" s="400"/>
      <c r="C903" s="160"/>
      <c r="D903" s="160"/>
      <c r="E903" s="160"/>
      <c r="F903" s="160"/>
      <c r="G903" s="160"/>
      <c r="H903" s="160"/>
      <c r="I903" s="160"/>
      <c r="J903" s="160"/>
      <c r="K903" s="160"/>
      <c r="L903" s="160"/>
      <c r="M903" s="160"/>
    </row>
    <row r="904" spans="2:13">
      <c r="B904" s="400"/>
      <c r="C904" s="160"/>
      <c r="D904" s="160"/>
      <c r="E904" s="160"/>
      <c r="F904" s="160"/>
      <c r="G904" s="160"/>
      <c r="H904" s="160"/>
      <c r="I904" s="160"/>
      <c r="J904" s="160"/>
      <c r="K904" s="160"/>
      <c r="L904" s="160"/>
      <c r="M904" s="160"/>
    </row>
    <row r="905" spans="2:13">
      <c r="B905" s="400"/>
      <c r="C905" s="160"/>
      <c r="D905" s="160"/>
      <c r="E905" s="160"/>
      <c r="F905" s="160"/>
      <c r="G905" s="160"/>
      <c r="H905" s="160"/>
      <c r="I905" s="160"/>
      <c r="J905" s="160"/>
      <c r="K905" s="160"/>
      <c r="L905" s="160"/>
      <c r="M905" s="160"/>
    </row>
    <row r="906" spans="2:13">
      <c r="B906" s="400"/>
      <c r="C906" s="160"/>
      <c r="D906" s="160"/>
      <c r="E906" s="160"/>
      <c r="F906" s="160"/>
      <c r="G906" s="160"/>
      <c r="H906" s="160"/>
      <c r="I906" s="160"/>
      <c r="J906" s="160"/>
      <c r="K906" s="160"/>
      <c r="L906" s="160"/>
      <c r="M906" s="160"/>
    </row>
    <row r="907" spans="2:13">
      <c r="B907" s="400"/>
      <c r="C907" s="160"/>
      <c r="D907" s="160"/>
      <c r="E907" s="160"/>
      <c r="F907" s="160"/>
      <c r="G907" s="160"/>
      <c r="H907" s="160"/>
      <c r="I907" s="160"/>
      <c r="J907" s="160"/>
      <c r="K907" s="160"/>
      <c r="L907" s="160"/>
      <c r="M907" s="160"/>
    </row>
    <row r="908" spans="2:13">
      <c r="B908" s="400"/>
      <c r="C908" s="160"/>
      <c r="D908" s="160"/>
      <c r="E908" s="160"/>
      <c r="F908" s="160"/>
      <c r="G908" s="160"/>
      <c r="H908" s="160"/>
      <c r="I908" s="160"/>
      <c r="J908" s="160"/>
      <c r="K908" s="160"/>
      <c r="L908" s="160"/>
      <c r="M908" s="160"/>
    </row>
    <row r="909" spans="2:13">
      <c r="B909" s="400"/>
      <c r="C909" s="160"/>
      <c r="D909" s="160"/>
      <c r="E909" s="160"/>
      <c r="F909" s="160"/>
      <c r="G909" s="160"/>
      <c r="H909" s="160"/>
      <c r="I909" s="160"/>
      <c r="J909" s="160"/>
      <c r="K909" s="160"/>
      <c r="L909" s="160"/>
      <c r="M909" s="160"/>
    </row>
    <row r="910" spans="2:13">
      <c r="B910" s="400"/>
      <c r="C910" s="160"/>
      <c r="D910" s="160"/>
      <c r="E910" s="160"/>
      <c r="F910" s="160"/>
      <c r="G910" s="160"/>
      <c r="H910" s="160"/>
      <c r="I910" s="160"/>
      <c r="J910" s="160"/>
      <c r="K910" s="160"/>
      <c r="L910" s="160"/>
      <c r="M910" s="160"/>
    </row>
    <row r="911" spans="2:13">
      <c r="B911" s="400"/>
      <c r="C911" s="160"/>
      <c r="D911" s="160"/>
      <c r="E911" s="160"/>
      <c r="F911" s="160"/>
      <c r="G911" s="160"/>
      <c r="H911" s="160"/>
      <c r="I911" s="160"/>
      <c r="J911" s="160"/>
      <c r="K911" s="160"/>
      <c r="L911" s="160"/>
      <c r="M911" s="160"/>
    </row>
    <row r="912" spans="2:13">
      <c r="B912" s="400"/>
      <c r="C912" s="160"/>
      <c r="D912" s="160"/>
      <c r="E912" s="160"/>
      <c r="F912" s="160"/>
      <c r="G912" s="160"/>
      <c r="H912" s="160"/>
      <c r="I912" s="160"/>
      <c r="J912" s="160"/>
      <c r="K912" s="160"/>
      <c r="L912" s="160"/>
      <c r="M912" s="160"/>
    </row>
    <row r="913" spans="2:13">
      <c r="B913" s="400"/>
      <c r="C913" s="160"/>
      <c r="D913" s="160"/>
      <c r="E913" s="160"/>
      <c r="F913" s="160"/>
      <c r="G913" s="160"/>
      <c r="H913" s="160"/>
      <c r="I913" s="160"/>
      <c r="J913" s="160"/>
      <c r="K913" s="160"/>
      <c r="L913" s="160"/>
      <c r="M913" s="160"/>
    </row>
    <row r="914" spans="2:13">
      <c r="B914" s="400"/>
      <c r="C914" s="160"/>
      <c r="D914" s="160"/>
      <c r="E914" s="160"/>
      <c r="F914" s="160"/>
      <c r="G914" s="160"/>
      <c r="H914" s="160"/>
      <c r="I914" s="160"/>
      <c r="J914" s="160"/>
      <c r="K914" s="160"/>
      <c r="L914" s="160"/>
      <c r="M914" s="160"/>
    </row>
    <row r="915" spans="2:13">
      <c r="B915" s="400"/>
      <c r="C915" s="160"/>
      <c r="D915" s="160"/>
      <c r="E915" s="160"/>
      <c r="F915" s="160"/>
      <c r="G915" s="160"/>
      <c r="H915" s="160"/>
      <c r="I915" s="160"/>
      <c r="J915" s="160"/>
      <c r="K915" s="160"/>
      <c r="L915" s="160"/>
      <c r="M915" s="160"/>
    </row>
    <row r="916" spans="2:13">
      <c r="B916" s="400"/>
      <c r="C916" s="160"/>
      <c r="D916" s="160"/>
      <c r="E916" s="160"/>
      <c r="F916" s="160"/>
      <c r="G916" s="160"/>
      <c r="H916" s="160"/>
      <c r="I916" s="160"/>
      <c r="J916" s="160"/>
      <c r="K916" s="160"/>
      <c r="L916" s="160"/>
      <c r="M916" s="160"/>
    </row>
    <row r="917" spans="2:13">
      <c r="B917" s="400"/>
      <c r="C917" s="160"/>
      <c r="D917" s="160"/>
      <c r="E917" s="160"/>
      <c r="F917" s="160"/>
      <c r="G917" s="160"/>
      <c r="H917" s="160"/>
      <c r="I917" s="160"/>
      <c r="J917" s="160"/>
      <c r="K917" s="160"/>
      <c r="L917" s="160"/>
      <c r="M917" s="160"/>
    </row>
    <row r="918" spans="2:13">
      <c r="B918" s="400"/>
      <c r="C918" s="160"/>
      <c r="D918" s="160"/>
      <c r="E918" s="160"/>
      <c r="F918" s="160"/>
      <c r="G918" s="160"/>
      <c r="H918" s="160"/>
      <c r="I918" s="160"/>
      <c r="J918" s="160"/>
      <c r="K918" s="160"/>
      <c r="L918" s="160"/>
      <c r="M918" s="160"/>
    </row>
    <row r="919" spans="2:13">
      <c r="B919" s="400"/>
      <c r="C919" s="160"/>
      <c r="D919" s="160"/>
      <c r="E919" s="160"/>
      <c r="F919" s="160"/>
      <c r="G919" s="160"/>
      <c r="H919" s="160"/>
      <c r="I919" s="160"/>
      <c r="J919" s="160"/>
      <c r="K919" s="160"/>
      <c r="L919" s="160"/>
      <c r="M919" s="160"/>
    </row>
    <row r="920" spans="2:13">
      <c r="B920" s="400"/>
      <c r="C920" s="160"/>
      <c r="D920" s="160"/>
      <c r="E920" s="160"/>
      <c r="F920" s="160"/>
      <c r="G920" s="160"/>
      <c r="H920" s="160"/>
      <c r="I920" s="160"/>
      <c r="J920" s="160"/>
      <c r="K920" s="160"/>
      <c r="L920" s="160"/>
      <c r="M920" s="160"/>
    </row>
    <row r="921" spans="2:13">
      <c r="B921" s="400"/>
      <c r="C921" s="160"/>
      <c r="D921" s="160"/>
      <c r="E921" s="160"/>
      <c r="F921" s="160"/>
      <c r="G921" s="160"/>
      <c r="H921" s="160"/>
      <c r="I921" s="160"/>
      <c r="J921" s="160"/>
      <c r="K921" s="160"/>
      <c r="L921" s="160"/>
      <c r="M921" s="160"/>
    </row>
    <row r="922" spans="2:13">
      <c r="B922" s="400"/>
      <c r="C922" s="160"/>
      <c r="D922" s="160"/>
      <c r="E922" s="160"/>
      <c r="F922" s="160"/>
      <c r="G922" s="160"/>
      <c r="H922" s="160"/>
      <c r="I922" s="160"/>
      <c r="J922" s="160"/>
      <c r="K922" s="160"/>
      <c r="L922" s="160"/>
      <c r="M922" s="160"/>
    </row>
    <row r="923" spans="2:13">
      <c r="B923" s="400"/>
      <c r="C923" s="160"/>
      <c r="D923" s="160"/>
      <c r="E923" s="160"/>
      <c r="F923" s="160"/>
      <c r="G923" s="160"/>
      <c r="H923" s="160"/>
      <c r="I923" s="160"/>
      <c r="J923" s="160"/>
      <c r="K923" s="160"/>
      <c r="L923" s="160"/>
      <c r="M923" s="160"/>
    </row>
    <row r="924" spans="2:13">
      <c r="B924" s="400"/>
      <c r="C924" s="160"/>
      <c r="D924" s="160"/>
      <c r="E924" s="160"/>
      <c r="F924" s="160"/>
      <c r="G924" s="160"/>
      <c r="H924" s="160"/>
      <c r="I924" s="160"/>
      <c r="J924" s="160"/>
      <c r="K924" s="160"/>
      <c r="L924" s="160"/>
      <c r="M924" s="160"/>
    </row>
    <row r="925" spans="2:13">
      <c r="B925" s="400"/>
      <c r="C925" s="160"/>
      <c r="D925" s="160"/>
      <c r="E925" s="160"/>
      <c r="F925" s="160"/>
      <c r="G925" s="160"/>
      <c r="H925" s="160"/>
      <c r="I925" s="160"/>
      <c r="J925" s="160"/>
      <c r="K925" s="160"/>
      <c r="L925" s="160"/>
      <c r="M925" s="160"/>
    </row>
    <row r="926" spans="2:13">
      <c r="B926" s="400"/>
      <c r="C926" s="160"/>
      <c r="D926" s="160"/>
      <c r="E926" s="160"/>
      <c r="F926" s="160"/>
      <c r="G926" s="160"/>
      <c r="H926" s="160"/>
      <c r="I926" s="160"/>
      <c r="J926" s="160"/>
      <c r="K926" s="160"/>
      <c r="L926" s="160"/>
      <c r="M926" s="160"/>
    </row>
    <row r="927" spans="2:13">
      <c r="B927" s="400"/>
      <c r="C927" s="160"/>
      <c r="D927" s="160"/>
      <c r="E927" s="160"/>
      <c r="F927" s="160"/>
      <c r="G927" s="160"/>
      <c r="H927" s="160"/>
      <c r="I927" s="160"/>
      <c r="J927" s="160"/>
      <c r="K927" s="160"/>
      <c r="L927" s="160"/>
      <c r="M927" s="160"/>
    </row>
    <row r="928" spans="2:13">
      <c r="B928" s="400"/>
      <c r="C928" s="160"/>
      <c r="D928" s="160"/>
      <c r="E928" s="160"/>
      <c r="F928" s="160"/>
      <c r="G928" s="160"/>
      <c r="H928" s="160"/>
      <c r="I928" s="160"/>
      <c r="J928" s="160"/>
      <c r="K928" s="160"/>
      <c r="L928" s="160"/>
      <c r="M928" s="160"/>
    </row>
    <row r="929" spans="2:13">
      <c r="B929" s="400"/>
      <c r="C929" s="160"/>
      <c r="D929" s="160"/>
      <c r="E929" s="160"/>
      <c r="F929" s="160"/>
      <c r="G929" s="160"/>
      <c r="H929" s="160"/>
      <c r="I929" s="160"/>
      <c r="J929" s="160"/>
      <c r="K929" s="160"/>
      <c r="L929" s="160"/>
      <c r="M929" s="160"/>
    </row>
    <row r="930" spans="2:13">
      <c r="B930" s="400"/>
      <c r="C930" s="160"/>
      <c r="D930" s="160"/>
      <c r="E930" s="160"/>
      <c r="F930" s="160"/>
      <c r="G930" s="160"/>
      <c r="H930" s="160"/>
      <c r="I930" s="160"/>
      <c r="J930" s="160"/>
      <c r="K930" s="160"/>
      <c r="L930" s="160"/>
      <c r="M930" s="160"/>
    </row>
    <row r="931" spans="2:13">
      <c r="B931" s="400"/>
      <c r="C931" s="160"/>
      <c r="D931" s="160"/>
      <c r="E931" s="160"/>
      <c r="F931" s="160"/>
      <c r="G931" s="160"/>
      <c r="H931" s="160"/>
      <c r="I931" s="160"/>
      <c r="J931" s="160"/>
      <c r="K931" s="160"/>
      <c r="L931" s="160"/>
      <c r="M931" s="160"/>
    </row>
    <row r="932" spans="2:13">
      <c r="B932" s="400"/>
      <c r="C932" s="160"/>
      <c r="D932" s="160"/>
      <c r="E932" s="160"/>
      <c r="F932" s="160"/>
      <c r="G932" s="160"/>
      <c r="H932" s="160"/>
      <c r="I932" s="160"/>
      <c r="J932" s="160"/>
      <c r="K932" s="160"/>
      <c r="L932" s="160"/>
      <c r="M932" s="160"/>
    </row>
    <row r="933" spans="2:13">
      <c r="B933" s="400"/>
      <c r="C933" s="160"/>
      <c r="D933" s="160"/>
      <c r="E933" s="160"/>
      <c r="F933" s="160"/>
      <c r="G933" s="160"/>
      <c r="H933" s="160"/>
      <c r="I933" s="160"/>
      <c r="J933" s="160"/>
      <c r="K933" s="160"/>
      <c r="L933" s="160"/>
      <c r="M933" s="160"/>
    </row>
    <row r="934" spans="2:13">
      <c r="B934" s="400"/>
      <c r="C934" s="160"/>
      <c r="D934" s="160"/>
      <c r="E934" s="160"/>
      <c r="F934" s="160"/>
      <c r="G934" s="160"/>
      <c r="H934" s="160"/>
      <c r="I934" s="160"/>
      <c r="J934" s="160"/>
      <c r="K934" s="160"/>
      <c r="L934" s="160"/>
      <c r="M934" s="160"/>
    </row>
    <row r="935" spans="2:13">
      <c r="B935" s="400"/>
      <c r="C935" s="160"/>
      <c r="D935" s="160"/>
      <c r="E935" s="160"/>
      <c r="F935" s="160"/>
      <c r="G935" s="160"/>
      <c r="H935" s="160"/>
      <c r="I935" s="160"/>
      <c r="J935" s="160"/>
      <c r="K935" s="160"/>
      <c r="L935" s="160"/>
      <c r="M935" s="160"/>
    </row>
    <row r="936" spans="2:13">
      <c r="B936" s="400"/>
      <c r="C936" s="160"/>
      <c r="D936" s="160"/>
      <c r="E936" s="160"/>
      <c r="F936" s="160"/>
      <c r="G936" s="160"/>
      <c r="H936" s="160"/>
      <c r="I936" s="160"/>
      <c r="J936" s="160"/>
      <c r="K936" s="160"/>
      <c r="L936" s="160"/>
      <c r="M936" s="160"/>
    </row>
    <row r="937" spans="2:13">
      <c r="B937" s="400"/>
      <c r="C937" s="160"/>
      <c r="D937" s="160"/>
      <c r="E937" s="160"/>
      <c r="F937" s="160"/>
      <c r="G937" s="160"/>
      <c r="H937" s="160"/>
      <c r="I937" s="160"/>
      <c r="J937" s="160"/>
      <c r="K937" s="160"/>
      <c r="L937" s="160"/>
      <c r="M937" s="160"/>
    </row>
    <row r="938" spans="2:13">
      <c r="B938" s="400"/>
      <c r="C938" s="160"/>
      <c r="D938" s="160"/>
      <c r="E938" s="160"/>
      <c r="F938" s="160"/>
      <c r="G938" s="160"/>
      <c r="H938" s="160"/>
      <c r="I938" s="160"/>
      <c r="J938" s="160"/>
      <c r="K938" s="160"/>
      <c r="L938" s="160"/>
      <c r="M938" s="160"/>
    </row>
    <row r="939" spans="2:13">
      <c r="B939" s="400"/>
      <c r="C939" s="160"/>
      <c r="D939" s="160"/>
      <c r="E939" s="160"/>
      <c r="F939" s="160"/>
      <c r="G939" s="160"/>
      <c r="H939" s="160"/>
      <c r="I939" s="160"/>
      <c r="J939" s="160"/>
      <c r="K939" s="160"/>
      <c r="L939" s="160"/>
      <c r="M939" s="160"/>
    </row>
    <row r="940" spans="2:13">
      <c r="B940" s="400"/>
      <c r="C940" s="160"/>
      <c r="D940" s="160"/>
      <c r="E940" s="160"/>
      <c r="F940" s="160"/>
      <c r="G940" s="160"/>
      <c r="H940" s="160"/>
      <c r="I940" s="160"/>
      <c r="J940" s="160"/>
      <c r="K940" s="160"/>
      <c r="L940" s="160"/>
      <c r="M940" s="160"/>
    </row>
    <row r="941" spans="2:13">
      <c r="B941" s="400"/>
      <c r="C941" s="160"/>
      <c r="D941" s="160"/>
      <c r="E941" s="160"/>
      <c r="F941" s="160"/>
      <c r="G941" s="160"/>
      <c r="H941" s="160"/>
      <c r="I941" s="160"/>
      <c r="J941" s="160"/>
      <c r="K941" s="160"/>
      <c r="L941" s="160"/>
      <c r="M941" s="160"/>
    </row>
    <row r="942" spans="2:13">
      <c r="B942" s="400"/>
      <c r="C942" s="160"/>
      <c r="D942" s="160"/>
      <c r="E942" s="160"/>
      <c r="F942" s="160"/>
      <c r="G942" s="160"/>
      <c r="H942" s="160"/>
      <c r="I942" s="160"/>
      <c r="J942" s="160"/>
      <c r="K942" s="160"/>
      <c r="L942" s="160"/>
      <c r="M942" s="160"/>
    </row>
    <row r="943" spans="2:13">
      <c r="B943" s="400"/>
      <c r="C943" s="160"/>
      <c r="D943" s="160"/>
      <c r="E943" s="160"/>
      <c r="F943" s="160"/>
      <c r="G943" s="160"/>
      <c r="H943" s="160"/>
      <c r="I943" s="160"/>
      <c r="J943" s="160"/>
      <c r="K943" s="160"/>
      <c r="L943" s="160"/>
      <c r="M943" s="160"/>
    </row>
    <row r="944" spans="2:13">
      <c r="B944" s="400"/>
      <c r="C944" s="160"/>
      <c r="D944" s="160"/>
      <c r="E944" s="160"/>
      <c r="F944" s="160"/>
      <c r="G944" s="160"/>
      <c r="H944" s="160"/>
      <c r="I944" s="160"/>
      <c r="J944" s="160"/>
      <c r="K944" s="160"/>
      <c r="L944" s="160"/>
      <c r="M944" s="160"/>
    </row>
    <row r="945" spans="2:13">
      <c r="B945" s="400"/>
      <c r="C945" s="160"/>
      <c r="D945" s="160"/>
      <c r="E945" s="160"/>
      <c r="F945" s="160"/>
      <c r="G945" s="160"/>
      <c r="H945" s="160"/>
      <c r="I945" s="160"/>
      <c r="J945" s="160"/>
      <c r="K945" s="160"/>
      <c r="L945" s="160"/>
      <c r="M945" s="160"/>
    </row>
    <row r="946" spans="2:13">
      <c r="B946" s="400"/>
      <c r="C946" s="160"/>
      <c r="D946" s="160"/>
      <c r="E946" s="160"/>
      <c r="F946" s="160"/>
      <c r="G946" s="160"/>
      <c r="H946" s="160"/>
      <c r="I946" s="160"/>
      <c r="J946" s="160"/>
      <c r="K946" s="160"/>
      <c r="L946" s="160"/>
      <c r="M946" s="160"/>
    </row>
    <row r="947" spans="2:13">
      <c r="B947" s="400"/>
      <c r="C947" s="160"/>
      <c r="D947" s="160"/>
      <c r="E947" s="160"/>
      <c r="F947" s="160"/>
      <c r="G947" s="160"/>
      <c r="H947" s="160"/>
      <c r="I947" s="160"/>
      <c r="J947" s="160"/>
      <c r="K947" s="160"/>
      <c r="L947" s="160"/>
      <c r="M947" s="160"/>
    </row>
    <row r="948" spans="2:13">
      <c r="B948" s="400"/>
      <c r="C948" s="160"/>
      <c r="D948" s="160"/>
      <c r="E948" s="160"/>
      <c r="F948" s="160"/>
      <c r="G948" s="160"/>
      <c r="H948" s="160"/>
      <c r="I948" s="160"/>
      <c r="J948" s="160"/>
      <c r="K948" s="160"/>
      <c r="L948" s="160"/>
      <c r="M948" s="160"/>
    </row>
    <row r="949" spans="2:13">
      <c r="B949" s="400"/>
      <c r="C949" s="160"/>
      <c r="D949" s="160"/>
      <c r="E949" s="160"/>
      <c r="F949" s="160"/>
      <c r="G949" s="160"/>
      <c r="H949" s="160"/>
      <c r="I949" s="160"/>
      <c r="J949" s="160"/>
      <c r="K949" s="160"/>
      <c r="L949" s="160"/>
      <c r="M949" s="160"/>
    </row>
    <row r="950" spans="2:13">
      <c r="B950" s="400"/>
      <c r="C950" s="160"/>
      <c r="D950" s="160"/>
      <c r="E950" s="160"/>
      <c r="F950" s="160"/>
      <c r="G950" s="160"/>
      <c r="H950" s="160"/>
      <c r="I950" s="160"/>
      <c r="J950" s="160"/>
      <c r="K950" s="160"/>
      <c r="L950" s="160"/>
      <c r="M950" s="160"/>
    </row>
    <row r="951" spans="2:13">
      <c r="B951" s="400"/>
      <c r="C951" s="160"/>
      <c r="D951" s="160"/>
      <c r="E951" s="160"/>
      <c r="F951" s="160"/>
      <c r="G951" s="160"/>
      <c r="H951" s="160"/>
      <c r="I951" s="160"/>
      <c r="J951" s="160"/>
      <c r="K951" s="160"/>
      <c r="L951" s="160"/>
      <c r="M951" s="160"/>
    </row>
    <row r="952" spans="2:13">
      <c r="B952" s="400"/>
      <c r="C952" s="160"/>
      <c r="D952" s="160"/>
      <c r="E952" s="160"/>
      <c r="F952" s="160"/>
      <c r="G952" s="160"/>
      <c r="H952" s="160"/>
      <c r="I952" s="160"/>
      <c r="J952" s="160"/>
      <c r="K952" s="160"/>
      <c r="L952" s="160"/>
      <c r="M952" s="160"/>
    </row>
    <row r="953" spans="2:13">
      <c r="B953" s="400"/>
      <c r="C953" s="160"/>
      <c r="D953" s="160"/>
      <c r="E953" s="160"/>
      <c r="F953" s="160"/>
      <c r="G953" s="160"/>
      <c r="H953" s="160"/>
      <c r="I953" s="160"/>
      <c r="J953" s="160"/>
      <c r="K953" s="160"/>
      <c r="L953" s="160"/>
      <c r="M953" s="160"/>
    </row>
    <row r="954" spans="2:13">
      <c r="B954" s="400"/>
      <c r="C954" s="160"/>
      <c r="D954" s="160"/>
      <c r="E954" s="160"/>
      <c r="F954" s="160"/>
      <c r="G954" s="160"/>
      <c r="H954" s="160"/>
      <c r="I954" s="160"/>
      <c r="J954" s="160"/>
      <c r="K954" s="160"/>
      <c r="L954" s="160"/>
      <c r="M954" s="160"/>
    </row>
    <row r="955" spans="2:13">
      <c r="B955" s="400"/>
      <c r="C955" s="160"/>
      <c r="D955" s="160"/>
      <c r="E955" s="160"/>
      <c r="F955" s="160"/>
      <c r="G955" s="160"/>
      <c r="H955" s="160"/>
      <c r="I955" s="160"/>
      <c r="J955" s="160"/>
      <c r="K955" s="160"/>
      <c r="L955" s="160"/>
      <c r="M955" s="160"/>
    </row>
    <row r="956" spans="2:13">
      <c r="B956" s="400"/>
      <c r="C956" s="160"/>
      <c r="D956" s="160"/>
      <c r="E956" s="160"/>
      <c r="F956" s="160"/>
      <c r="G956" s="160"/>
      <c r="H956" s="160"/>
      <c r="I956" s="160"/>
      <c r="J956" s="160"/>
      <c r="K956" s="160"/>
      <c r="L956" s="160"/>
      <c r="M956" s="160"/>
    </row>
    <row r="957" spans="2:13">
      <c r="B957" s="400"/>
      <c r="C957" s="160"/>
      <c r="D957" s="160"/>
      <c r="E957" s="160"/>
      <c r="F957" s="160"/>
      <c r="G957" s="160"/>
      <c r="H957" s="160"/>
      <c r="I957" s="160"/>
      <c r="J957" s="160"/>
      <c r="K957" s="160"/>
      <c r="L957" s="160"/>
      <c r="M957" s="160"/>
    </row>
    <row r="958" spans="2:13">
      <c r="B958" s="400"/>
      <c r="C958" s="160"/>
      <c r="D958" s="160"/>
      <c r="E958" s="160"/>
      <c r="F958" s="160"/>
      <c r="G958" s="160"/>
      <c r="H958" s="160"/>
      <c r="I958" s="160"/>
      <c r="J958" s="160"/>
      <c r="K958" s="160"/>
      <c r="L958" s="160"/>
      <c r="M958" s="160"/>
    </row>
    <row r="959" spans="2:13">
      <c r="B959" s="400"/>
      <c r="C959" s="160"/>
      <c r="D959" s="160"/>
      <c r="E959" s="160"/>
      <c r="F959" s="160"/>
      <c r="G959" s="160"/>
      <c r="H959" s="160"/>
      <c r="I959" s="160"/>
      <c r="J959" s="160"/>
      <c r="K959" s="160"/>
      <c r="L959" s="160"/>
      <c r="M959" s="160"/>
    </row>
    <row r="960" spans="2:13">
      <c r="B960" s="400"/>
      <c r="C960" s="160"/>
      <c r="D960" s="160"/>
      <c r="E960" s="160"/>
      <c r="F960" s="160"/>
      <c r="G960" s="160"/>
      <c r="H960" s="160"/>
      <c r="I960" s="160"/>
      <c r="J960" s="160"/>
      <c r="K960" s="160"/>
      <c r="L960" s="160"/>
      <c r="M960" s="160"/>
    </row>
    <row r="961" spans="2:13">
      <c r="B961" s="400"/>
      <c r="C961" s="160"/>
      <c r="D961" s="160"/>
      <c r="E961" s="160"/>
      <c r="F961" s="160"/>
      <c r="G961" s="160"/>
      <c r="H961" s="160"/>
      <c r="I961" s="160"/>
      <c r="J961" s="160"/>
      <c r="K961" s="160"/>
      <c r="L961" s="160"/>
      <c r="M961" s="160"/>
    </row>
    <row r="962" spans="2:13">
      <c r="B962" s="400"/>
      <c r="C962" s="160"/>
      <c r="D962" s="160"/>
      <c r="E962" s="160"/>
      <c r="F962" s="160"/>
      <c r="G962" s="160"/>
      <c r="H962" s="160"/>
      <c r="I962" s="160"/>
      <c r="J962" s="160"/>
      <c r="K962" s="160"/>
      <c r="L962" s="160"/>
      <c r="M962" s="160"/>
    </row>
    <row r="963" spans="2:13">
      <c r="B963" s="400"/>
      <c r="C963" s="160"/>
      <c r="D963" s="160"/>
      <c r="E963" s="160"/>
      <c r="F963" s="160"/>
      <c r="G963" s="160"/>
      <c r="H963" s="160"/>
      <c r="I963" s="160"/>
      <c r="J963" s="160"/>
      <c r="K963" s="160"/>
      <c r="L963" s="160"/>
      <c r="M963" s="160"/>
    </row>
    <row r="964" spans="2:13">
      <c r="B964" s="400"/>
      <c r="C964" s="160"/>
      <c r="D964" s="160"/>
      <c r="E964" s="160"/>
      <c r="F964" s="160"/>
      <c r="G964" s="160"/>
      <c r="H964" s="160"/>
      <c r="I964" s="160"/>
      <c r="J964" s="160"/>
      <c r="K964" s="160"/>
      <c r="L964" s="160"/>
      <c r="M964" s="160"/>
    </row>
    <row r="965" spans="2:13">
      <c r="B965" s="400"/>
      <c r="C965" s="160"/>
      <c r="D965" s="160"/>
      <c r="E965" s="160"/>
      <c r="F965" s="160"/>
      <c r="G965" s="160"/>
      <c r="H965" s="160"/>
      <c r="I965" s="160"/>
      <c r="J965" s="160"/>
      <c r="K965" s="160"/>
      <c r="L965" s="160"/>
      <c r="M965" s="160"/>
    </row>
    <row r="966" spans="2:13">
      <c r="B966" s="400"/>
      <c r="C966" s="160"/>
      <c r="D966" s="160"/>
      <c r="E966" s="160"/>
      <c r="F966" s="160"/>
      <c r="G966" s="160"/>
      <c r="H966" s="160"/>
      <c r="I966" s="160"/>
      <c r="J966" s="160"/>
      <c r="K966" s="160"/>
      <c r="L966" s="160"/>
      <c r="M966" s="160"/>
    </row>
    <row r="967" spans="2:13">
      <c r="B967" s="400"/>
      <c r="C967" s="160"/>
      <c r="D967" s="160"/>
      <c r="E967" s="160"/>
      <c r="F967" s="160"/>
      <c r="G967" s="160"/>
      <c r="H967" s="160"/>
      <c r="I967" s="160"/>
      <c r="J967" s="160"/>
      <c r="K967" s="160"/>
      <c r="L967" s="160"/>
      <c r="M967" s="160"/>
    </row>
    <row r="968" spans="2:13">
      <c r="B968" s="400"/>
      <c r="C968" s="160"/>
      <c r="D968" s="160"/>
      <c r="E968" s="160"/>
      <c r="F968" s="160"/>
      <c r="G968" s="160"/>
      <c r="H968" s="160"/>
      <c r="I968" s="160"/>
      <c r="J968" s="160"/>
      <c r="K968" s="160"/>
      <c r="L968" s="160"/>
      <c r="M968" s="160"/>
    </row>
    <row r="969" spans="2:13">
      <c r="B969" s="400"/>
      <c r="C969" s="160"/>
      <c r="D969" s="160"/>
      <c r="E969" s="160"/>
      <c r="F969" s="160"/>
      <c r="G969" s="160"/>
      <c r="H969" s="160"/>
      <c r="I969" s="160"/>
      <c r="J969" s="160"/>
      <c r="K969" s="160"/>
      <c r="L969" s="160"/>
      <c r="M969" s="160"/>
    </row>
    <row r="970" spans="2:13">
      <c r="B970" s="400"/>
      <c r="C970" s="160"/>
      <c r="D970" s="160"/>
      <c r="E970" s="160"/>
      <c r="F970" s="160"/>
      <c r="G970" s="160"/>
      <c r="H970" s="160"/>
      <c r="I970" s="160"/>
      <c r="J970" s="160"/>
      <c r="K970" s="160"/>
      <c r="L970" s="160"/>
      <c r="M970" s="160"/>
    </row>
    <row r="971" spans="2:13">
      <c r="B971" s="400"/>
      <c r="C971" s="160"/>
      <c r="D971" s="160"/>
      <c r="E971" s="160"/>
      <c r="F971" s="160"/>
      <c r="G971" s="160"/>
      <c r="H971" s="160"/>
      <c r="I971" s="160"/>
      <c r="J971" s="160"/>
      <c r="K971" s="160"/>
      <c r="L971" s="160"/>
      <c r="M971" s="160"/>
    </row>
    <row r="972" spans="2:13">
      <c r="B972" s="400"/>
      <c r="C972" s="160"/>
      <c r="D972" s="160"/>
      <c r="E972" s="160"/>
      <c r="F972" s="160"/>
      <c r="G972" s="160"/>
      <c r="H972" s="160"/>
      <c r="I972" s="160"/>
      <c r="J972" s="160"/>
      <c r="K972" s="160"/>
      <c r="L972" s="160"/>
      <c r="M972" s="160"/>
    </row>
    <row r="973" spans="2:13">
      <c r="B973" s="400"/>
      <c r="C973" s="160"/>
      <c r="D973" s="160"/>
      <c r="E973" s="160"/>
      <c r="F973" s="160"/>
      <c r="G973" s="160"/>
      <c r="H973" s="160"/>
      <c r="I973" s="160"/>
      <c r="J973" s="160"/>
      <c r="K973" s="160"/>
      <c r="L973" s="160"/>
      <c r="M973" s="160"/>
    </row>
    <row r="974" spans="2:13">
      <c r="B974" s="400"/>
      <c r="C974" s="160"/>
      <c r="D974" s="160"/>
      <c r="E974" s="160"/>
      <c r="F974" s="160"/>
      <c r="G974" s="160"/>
      <c r="H974" s="160"/>
      <c r="I974" s="160"/>
      <c r="J974" s="160"/>
      <c r="K974" s="160"/>
      <c r="L974" s="160"/>
      <c r="M974" s="160"/>
    </row>
    <row r="975" spans="2:13">
      <c r="B975" s="400"/>
      <c r="C975" s="160"/>
      <c r="D975" s="160"/>
      <c r="E975" s="160"/>
      <c r="F975" s="160"/>
      <c r="G975" s="160"/>
      <c r="H975" s="160"/>
      <c r="I975" s="160"/>
      <c r="J975" s="160"/>
      <c r="K975" s="160"/>
      <c r="L975" s="160"/>
      <c r="M975" s="160"/>
    </row>
    <row r="976" spans="2:13">
      <c r="B976" s="400"/>
      <c r="C976" s="160"/>
      <c r="D976" s="160"/>
      <c r="E976" s="160"/>
      <c r="F976" s="160"/>
      <c r="G976" s="160"/>
      <c r="H976" s="160"/>
      <c r="I976" s="160"/>
      <c r="J976" s="160"/>
      <c r="K976" s="160"/>
      <c r="L976" s="160"/>
      <c r="M976" s="160"/>
    </row>
    <row r="977" spans="2:13">
      <c r="B977" s="400"/>
      <c r="C977" s="160"/>
      <c r="D977" s="160"/>
      <c r="E977" s="160"/>
      <c r="F977" s="160"/>
      <c r="G977" s="160"/>
      <c r="H977" s="160"/>
      <c r="I977" s="160"/>
      <c r="J977" s="160"/>
      <c r="K977" s="160"/>
      <c r="L977" s="160"/>
      <c r="M977" s="160"/>
    </row>
    <row r="978" spans="2:13">
      <c r="B978" s="400"/>
      <c r="C978" s="160"/>
      <c r="D978" s="160"/>
      <c r="E978" s="160"/>
      <c r="F978" s="160"/>
      <c r="G978" s="160"/>
      <c r="H978" s="160"/>
      <c r="I978" s="160"/>
      <c r="J978" s="160"/>
      <c r="K978" s="160"/>
      <c r="L978" s="160"/>
      <c r="M978" s="160"/>
    </row>
    <row r="979" spans="2:13">
      <c r="B979" s="400"/>
      <c r="C979" s="160"/>
      <c r="D979" s="160"/>
      <c r="E979" s="160"/>
      <c r="F979" s="160"/>
      <c r="G979" s="160"/>
      <c r="H979" s="160"/>
      <c r="I979" s="160"/>
      <c r="J979" s="160"/>
      <c r="K979" s="160"/>
      <c r="L979" s="160"/>
      <c r="M979" s="160"/>
    </row>
    <row r="980" spans="2:13">
      <c r="B980" s="400"/>
      <c r="C980" s="160"/>
      <c r="D980" s="160"/>
      <c r="E980" s="160"/>
      <c r="F980" s="160"/>
      <c r="G980" s="160"/>
      <c r="H980" s="160"/>
      <c r="I980" s="160"/>
      <c r="J980" s="160"/>
      <c r="K980" s="160"/>
      <c r="L980" s="160"/>
      <c r="M980" s="160"/>
    </row>
    <row r="981" spans="2:13">
      <c r="B981" s="400"/>
      <c r="C981" s="160"/>
      <c r="D981" s="160"/>
      <c r="E981" s="160"/>
      <c r="F981" s="160"/>
      <c r="G981" s="160"/>
      <c r="H981" s="160"/>
      <c r="I981" s="160"/>
      <c r="J981" s="160"/>
      <c r="K981" s="160"/>
      <c r="L981" s="160"/>
      <c r="M981" s="160"/>
    </row>
    <row r="982" spans="2:13">
      <c r="B982" s="400"/>
      <c r="C982" s="160"/>
      <c r="D982" s="160"/>
      <c r="E982" s="160"/>
      <c r="F982" s="160"/>
      <c r="G982" s="160"/>
      <c r="H982" s="160"/>
      <c r="I982" s="160"/>
      <c r="J982" s="160"/>
      <c r="K982" s="160"/>
      <c r="L982" s="160"/>
      <c r="M982" s="160"/>
    </row>
    <row r="983" spans="2:13">
      <c r="B983" s="400"/>
      <c r="C983" s="160"/>
      <c r="D983" s="160"/>
      <c r="E983" s="160"/>
      <c r="F983" s="160"/>
      <c r="G983" s="160"/>
      <c r="H983" s="160"/>
      <c r="I983" s="160"/>
      <c r="J983" s="160"/>
      <c r="K983" s="160"/>
      <c r="L983" s="160"/>
      <c r="M983" s="160"/>
    </row>
    <row r="984" spans="2:13">
      <c r="B984" s="400"/>
      <c r="C984" s="160"/>
      <c r="D984" s="160"/>
      <c r="E984" s="160"/>
      <c r="F984" s="160"/>
      <c r="G984" s="160"/>
      <c r="H984" s="160"/>
      <c r="I984" s="160"/>
      <c r="J984" s="160"/>
      <c r="K984" s="160"/>
      <c r="L984" s="160"/>
      <c r="M984" s="160"/>
    </row>
    <row r="985" spans="2:13">
      <c r="B985" s="400"/>
      <c r="C985" s="160"/>
      <c r="D985" s="160"/>
      <c r="E985" s="160"/>
      <c r="F985" s="160"/>
      <c r="G985" s="160"/>
      <c r="H985" s="160"/>
      <c r="I985" s="160"/>
      <c r="J985" s="160"/>
      <c r="K985" s="160"/>
      <c r="L985" s="160"/>
      <c r="M985" s="160"/>
    </row>
    <row r="986" spans="2:13">
      <c r="B986" s="400"/>
      <c r="C986" s="160"/>
      <c r="D986" s="160"/>
      <c r="E986" s="160"/>
      <c r="F986" s="160"/>
      <c r="G986" s="160"/>
      <c r="H986" s="160"/>
      <c r="I986" s="160"/>
      <c r="J986" s="160"/>
      <c r="K986" s="160"/>
      <c r="L986" s="160"/>
      <c r="M986" s="160"/>
    </row>
    <row r="987" spans="2:13">
      <c r="B987" s="400"/>
      <c r="C987" s="160"/>
      <c r="D987" s="160"/>
      <c r="E987" s="160"/>
      <c r="F987" s="160"/>
      <c r="G987" s="160"/>
      <c r="H987" s="160"/>
      <c r="I987" s="160"/>
      <c r="J987" s="160"/>
      <c r="K987" s="160"/>
      <c r="L987" s="160"/>
      <c r="M987" s="160"/>
    </row>
    <row r="988" spans="2:13">
      <c r="B988" s="400"/>
      <c r="C988" s="160"/>
      <c r="D988" s="160"/>
      <c r="E988" s="160"/>
      <c r="F988" s="160"/>
      <c r="G988" s="160"/>
      <c r="H988" s="160"/>
      <c r="I988" s="160"/>
      <c r="J988" s="160"/>
      <c r="K988" s="160"/>
      <c r="L988" s="160"/>
      <c r="M988" s="160"/>
    </row>
    <row r="989" spans="2:13">
      <c r="B989" s="400"/>
      <c r="C989" s="160"/>
      <c r="D989" s="160"/>
      <c r="E989" s="160"/>
      <c r="F989" s="160"/>
      <c r="G989" s="160"/>
      <c r="H989" s="160"/>
      <c r="I989" s="160"/>
      <c r="J989" s="160"/>
      <c r="K989" s="160"/>
      <c r="L989" s="160"/>
      <c r="M989" s="160"/>
    </row>
    <row r="990" spans="2:13">
      <c r="B990" s="400"/>
      <c r="C990" s="160"/>
      <c r="D990" s="160"/>
      <c r="E990" s="160"/>
      <c r="F990" s="160"/>
      <c r="G990" s="160"/>
      <c r="H990" s="160"/>
      <c r="I990" s="160"/>
      <c r="J990" s="160"/>
      <c r="K990" s="160"/>
      <c r="L990" s="160"/>
      <c r="M990" s="160"/>
    </row>
    <row r="991" spans="2:13">
      <c r="B991" s="400"/>
      <c r="C991" s="160"/>
      <c r="D991" s="160"/>
      <c r="E991" s="160"/>
      <c r="F991" s="160"/>
      <c r="G991" s="160"/>
      <c r="H991" s="160"/>
      <c r="I991" s="160"/>
      <c r="J991" s="160"/>
      <c r="K991" s="160"/>
      <c r="L991" s="160"/>
      <c r="M991" s="160"/>
    </row>
    <row r="992" spans="2:13">
      <c r="B992" s="400"/>
      <c r="C992" s="160"/>
      <c r="D992" s="160"/>
      <c r="E992" s="160"/>
      <c r="F992" s="160"/>
      <c r="G992" s="160"/>
      <c r="H992" s="160"/>
      <c r="I992" s="160"/>
      <c r="J992" s="160"/>
      <c r="K992" s="160"/>
      <c r="L992" s="160"/>
      <c r="M992" s="160"/>
    </row>
    <row r="993" spans="2:13">
      <c r="B993" s="400"/>
      <c r="C993" s="160"/>
      <c r="D993" s="160"/>
      <c r="E993" s="160"/>
      <c r="F993" s="160"/>
      <c r="G993" s="160"/>
      <c r="H993" s="160"/>
      <c r="I993" s="160"/>
      <c r="J993" s="160"/>
      <c r="K993" s="160"/>
      <c r="L993" s="160"/>
      <c r="M993" s="160"/>
    </row>
    <row r="994" spans="2:13">
      <c r="B994" s="400"/>
      <c r="C994" s="160"/>
      <c r="D994" s="160"/>
      <c r="E994" s="160"/>
      <c r="F994" s="160"/>
      <c r="G994" s="160"/>
      <c r="H994" s="160"/>
      <c r="I994" s="160"/>
      <c r="J994" s="160"/>
      <c r="K994" s="160"/>
      <c r="L994" s="160"/>
      <c r="M994" s="160"/>
    </row>
    <row r="995" spans="2:13">
      <c r="B995" s="400"/>
      <c r="C995" s="160"/>
      <c r="D995" s="160"/>
      <c r="E995" s="160"/>
      <c r="F995" s="160"/>
      <c r="G995" s="160"/>
      <c r="H995" s="160"/>
      <c r="I995" s="160"/>
      <c r="J995" s="160"/>
      <c r="K995" s="160"/>
      <c r="L995" s="160"/>
      <c r="M995" s="160"/>
    </row>
    <row r="996" spans="2:13">
      <c r="B996" s="400"/>
      <c r="C996" s="160"/>
      <c r="D996" s="160"/>
      <c r="E996" s="160"/>
      <c r="F996" s="160"/>
      <c r="G996" s="160"/>
      <c r="H996" s="160"/>
      <c r="I996" s="160"/>
      <c r="J996" s="160"/>
      <c r="K996" s="160"/>
      <c r="L996" s="160"/>
      <c r="M996" s="160"/>
    </row>
    <row r="997" spans="2:13">
      <c r="B997" s="400"/>
      <c r="C997" s="160"/>
      <c r="D997" s="160"/>
      <c r="E997" s="160"/>
      <c r="F997" s="160"/>
      <c r="G997" s="160"/>
      <c r="H997" s="160"/>
      <c r="I997" s="160"/>
      <c r="J997" s="160"/>
      <c r="K997" s="160"/>
      <c r="L997" s="160"/>
      <c r="M997" s="160"/>
    </row>
    <row r="998" spans="2:13">
      <c r="B998" s="400"/>
      <c r="C998" s="160"/>
      <c r="D998" s="160"/>
      <c r="E998" s="160"/>
      <c r="F998" s="160"/>
      <c r="G998" s="160"/>
      <c r="H998" s="160"/>
      <c r="I998" s="160"/>
      <c r="J998" s="160"/>
      <c r="K998" s="160"/>
      <c r="L998" s="160"/>
      <c r="M998" s="160"/>
    </row>
    <row r="999" spans="2:13">
      <c r="B999" s="400"/>
      <c r="C999" s="160"/>
      <c r="D999" s="160"/>
      <c r="E999" s="160"/>
      <c r="F999" s="160"/>
      <c r="G999" s="160"/>
      <c r="H999" s="160"/>
      <c r="I999" s="160"/>
      <c r="J999" s="160"/>
      <c r="K999" s="160"/>
      <c r="L999" s="160"/>
      <c r="M999" s="160"/>
    </row>
    <row r="1000" spans="2:13">
      <c r="B1000" s="400"/>
      <c r="C1000" s="160"/>
      <c r="D1000" s="160"/>
      <c r="E1000" s="160"/>
      <c r="F1000" s="160"/>
      <c r="G1000" s="160"/>
      <c r="H1000" s="160"/>
      <c r="I1000" s="160"/>
      <c r="J1000" s="160"/>
      <c r="K1000" s="160"/>
      <c r="L1000" s="160"/>
      <c r="M1000" s="160"/>
    </row>
    <row r="1001" spans="2:13">
      <c r="B1001" s="400"/>
      <c r="C1001" s="160"/>
      <c r="D1001" s="160"/>
      <c r="E1001" s="160"/>
      <c r="F1001" s="160"/>
      <c r="G1001" s="160"/>
      <c r="H1001" s="160"/>
      <c r="I1001" s="160"/>
      <c r="J1001" s="160"/>
      <c r="K1001" s="160"/>
      <c r="L1001" s="160"/>
      <c r="M1001" s="160"/>
    </row>
    <row r="1002" spans="2:13">
      <c r="B1002" s="400"/>
      <c r="C1002" s="160"/>
      <c r="D1002" s="160"/>
      <c r="E1002" s="160"/>
      <c r="F1002" s="160"/>
      <c r="G1002" s="160"/>
      <c r="H1002" s="160"/>
      <c r="I1002" s="160"/>
      <c r="J1002" s="160"/>
      <c r="K1002" s="160"/>
      <c r="L1002" s="160"/>
      <c r="M1002" s="160"/>
    </row>
    <row r="1003" spans="2:13">
      <c r="B1003" s="400"/>
      <c r="C1003" s="160"/>
      <c r="D1003" s="160"/>
      <c r="E1003" s="160"/>
      <c r="F1003" s="160"/>
      <c r="G1003" s="160"/>
      <c r="H1003" s="160"/>
      <c r="I1003" s="160"/>
      <c r="J1003" s="160"/>
      <c r="K1003" s="160"/>
      <c r="L1003" s="160"/>
      <c r="M1003" s="160"/>
    </row>
    <row r="1004" spans="2:13">
      <c r="B1004" s="400"/>
      <c r="C1004" s="160"/>
      <c r="D1004" s="160"/>
      <c r="E1004" s="160"/>
      <c r="F1004" s="160"/>
      <c r="G1004" s="160"/>
      <c r="H1004" s="160"/>
      <c r="I1004" s="160"/>
      <c r="J1004" s="160"/>
      <c r="K1004" s="160"/>
      <c r="L1004" s="160"/>
      <c r="M1004" s="160"/>
    </row>
    <row r="1005" spans="2:13">
      <c r="B1005" s="400"/>
      <c r="C1005" s="160"/>
      <c r="D1005" s="160"/>
      <c r="E1005" s="160"/>
      <c r="F1005" s="160"/>
      <c r="G1005" s="160"/>
      <c r="H1005" s="160"/>
      <c r="I1005" s="160"/>
      <c r="J1005" s="160"/>
      <c r="K1005" s="160"/>
      <c r="L1005" s="160"/>
      <c r="M1005" s="160"/>
    </row>
    <row r="1006" spans="2:13">
      <c r="B1006" s="400"/>
      <c r="C1006" s="160"/>
      <c r="D1006" s="160"/>
      <c r="E1006" s="160"/>
      <c r="F1006" s="160"/>
      <c r="G1006" s="160"/>
      <c r="H1006" s="160"/>
      <c r="I1006" s="160"/>
      <c r="J1006" s="160"/>
      <c r="K1006" s="160"/>
      <c r="L1006" s="160"/>
      <c r="M1006" s="160"/>
    </row>
    <row r="1007" spans="2:13">
      <c r="B1007" s="400"/>
      <c r="C1007" s="160"/>
      <c r="D1007" s="160"/>
      <c r="E1007" s="160"/>
      <c r="F1007" s="160"/>
      <c r="G1007" s="160"/>
      <c r="H1007" s="160"/>
      <c r="I1007" s="160"/>
      <c r="J1007" s="160"/>
      <c r="K1007" s="160"/>
      <c r="L1007" s="160"/>
      <c r="M1007" s="160"/>
    </row>
    <row r="1008" spans="2:13">
      <c r="B1008" s="400"/>
      <c r="C1008" s="160"/>
      <c r="D1008" s="160"/>
      <c r="E1008" s="160"/>
      <c r="F1008" s="160"/>
      <c r="G1008" s="160"/>
      <c r="H1008" s="160"/>
      <c r="I1008" s="160"/>
      <c r="J1008" s="160"/>
      <c r="K1008" s="160"/>
      <c r="L1008" s="160"/>
      <c r="M1008" s="160"/>
    </row>
    <row r="1009" spans="2:13">
      <c r="B1009" s="400"/>
      <c r="C1009" s="160"/>
      <c r="D1009" s="160"/>
      <c r="E1009" s="160"/>
      <c r="F1009" s="160"/>
      <c r="G1009" s="160"/>
      <c r="H1009" s="160"/>
      <c r="I1009" s="160"/>
      <c r="J1009" s="160"/>
      <c r="K1009" s="160"/>
      <c r="L1009" s="160"/>
      <c r="M1009" s="160"/>
    </row>
    <row r="1010" spans="2:13">
      <c r="B1010" s="400"/>
      <c r="C1010" s="160"/>
      <c r="D1010" s="160"/>
      <c r="E1010" s="160"/>
      <c r="F1010" s="160"/>
      <c r="G1010" s="160"/>
      <c r="H1010" s="160"/>
      <c r="I1010" s="160"/>
      <c r="J1010" s="160"/>
      <c r="K1010" s="160"/>
      <c r="L1010" s="160"/>
      <c r="M1010" s="160"/>
    </row>
    <row r="1011" spans="2:13">
      <c r="B1011" s="400"/>
      <c r="C1011" s="160"/>
      <c r="D1011" s="160"/>
      <c r="E1011" s="160"/>
      <c r="F1011" s="160"/>
      <c r="G1011" s="160"/>
      <c r="H1011" s="160"/>
      <c r="I1011" s="160"/>
      <c r="J1011" s="160"/>
      <c r="K1011" s="160"/>
      <c r="L1011" s="160"/>
      <c r="M1011" s="160"/>
    </row>
    <row r="1012" spans="2:13">
      <c r="B1012" s="400"/>
      <c r="C1012" s="160"/>
      <c r="D1012" s="160"/>
      <c r="E1012" s="160"/>
      <c r="F1012" s="160"/>
      <c r="G1012" s="160"/>
      <c r="H1012" s="160"/>
      <c r="I1012" s="160"/>
      <c r="J1012" s="160"/>
      <c r="K1012" s="160"/>
      <c r="L1012" s="160"/>
      <c r="M1012" s="160"/>
    </row>
    <row r="1013" spans="2:13">
      <c r="B1013" s="400"/>
      <c r="C1013" s="160"/>
      <c r="D1013" s="160"/>
      <c r="E1013" s="160"/>
      <c r="F1013" s="160"/>
      <c r="G1013" s="160"/>
      <c r="H1013" s="160"/>
      <c r="I1013" s="160"/>
      <c r="J1013" s="160"/>
      <c r="K1013" s="160"/>
      <c r="L1013" s="160"/>
      <c r="M1013" s="160"/>
    </row>
    <row r="1014" spans="2:13">
      <c r="B1014" s="400"/>
      <c r="C1014" s="160"/>
      <c r="D1014" s="160"/>
      <c r="E1014" s="160"/>
      <c r="F1014" s="160"/>
      <c r="G1014" s="160"/>
      <c r="H1014" s="160"/>
      <c r="I1014" s="160"/>
      <c r="J1014" s="160"/>
      <c r="K1014" s="160"/>
      <c r="L1014" s="160"/>
      <c r="M1014" s="160"/>
    </row>
    <row r="1015" spans="2:13">
      <c r="B1015" s="400"/>
      <c r="C1015" s="160"/>
      <c r="D1015" s="160"/>
      <c r="E1015" s="160"/>
      <c r="F1015" s="160"/>
      <c r="G1015" s="160"/>
      <c r="H1015" s="160"/>
      <c r="I1015" s="160"/>
      <c r="J1015" s="160"/>
      <c r="K1015" s="160"/>
      <c r="L1015" s="160"/>
      <c r="M1015" s="160"/>
    </row>
    <row r="1016" spans="2:13">
      <c r="B1016" s="400"/>
      <c r="C1016" s="160"/>
      <c r="D1016" s="160"/>
      <c r="E1016" s="160"/>
      <c r="F1016" s="160"/>
      <c r="G1016" s="160"/>
      <c r="H1016" s="160"/>
      <c r="I1016" s="160"/>
      <c r="J1016" s="160"/>
      <c r="K1016" s="160"/>
      <c r="L1016" s="160"/>
      <c r="M1016" s="160"/>
    </row>
    <row r="1017" spans="2:13">
      <c r="B1017" s="400"/>
      <c r="C1017" s="160"/>
      <c r="D1017" s="160"/>
      <c r="E1017" s="160"/>
      <c r="F1017" s="160"/>
      <c r="G1017" s="160"/>
      <c r="H1017" s="160"/>
      <c r="I1017" s="160"/>
      <c r="J1017" s="160"/>
      <c r="K1017" s="160"/>
      <c r="L1017" s="160"/>
      <c r="M1017" s="160"/>
    </row>
    <row r="1018" spans="2:13">
      <c r="B1018" s="400"/>
      <c r="C1018" s="160"/>
      <c r="D1018" s="160"/>
      <c r="E1018" s="160"/>
      <c r="F1018" s="160"/>
      <c r="G1018" s="160"/>
      <c r="H1018" s="160"/>
      <c r="I1018" s="160"/>
      <c r="J1018" s="160"/>
      <c r="K1018" s="160"/>
      <c r="L1018" s="160"/>
      <c r="M1018" s="160"/>
    </row>
    <row r="1019" spans="2:13">
      <c r="B1019" s="400"/>
      <c r="C1019" s="160"/>
      <c r="D1019" s="160"/>
      <c r="E1019" s="160"/>
      <c r="F1019" s="160"/>
      <c r="G1019" s="160"/>
      <c r="H1019" s="160"/>
      <c r="I1019" s="160"/>
      <c r="J1019" s="160"/>
      <c r="K1019" s="160"/>
      <c r="L1019" s="160"/>
      <c r="M1019" s="160"/>
    </row>
    <row r="1020" spans="2:13">
      <c r="B1020" s="400"/>
      <c r="C1020" s="160"/>
      <c r="D1020" s="160"/>
      <c r="E1020" s="160"/>
      <c r="F1020" s="160"/>
      <c r="G1020" s="160"/>
      <c r="H1020" s="160"/>
      <c r="I1020" s="160"/>
      <c r="J1020" s="160"/>
      <c r="K1020" s="160"/>
      <c r="L1020" s="160"/>
      <c r="M1020" s="160"/>
    </row>
    <row r="1021" spans="2:13">
      <c r="B1021" s="400"/>
      <c r="C1021" s="160"/>
      <c r="D1021" s="160"/>
      <c r="E1021" s="160"/>
      <c r="F1021" s="160"/>
      <c r="G1021" s="160"/>
      <c r="H1021" s="160"/>
      <c r="I1021" s="160"/>
      <c r="J1021" s="160"/>
      <c r="K1021" s="160"/>
      <c r="L1021" s="160"/>
      <c r="M1021" s="160"/>
    </row>
    <row r="1022" spans="2:13">
      <c r="B1022" s="400"/>
      <c r="C1022" s="160"/>
      <c r="D1022" s="160"/>
      <c r="E1022" s="160"/>
      <c r="F1022" s="160"/>
      <c r="G1022" s="160"/>
      <c r="H1022" s="160"/>
      <c r="I1022" s="160"/>
      <c r="J1022" s="160"/>
      <c r="K1022" s="160"/>
      <c r="L1022" s="160"/>
      <c r="M1022" s="160"/>
    </row>
    <row r="1023" spans="2:13">
      <c r="B1023" s="400"/>
      <c r="C1023" s="160"/>
      <c r="D1023" s="160"/>
      <c r="E1023" s="160"/>
      <c r="F1023" s="160"/>
      <c r="G1023" s="160"/>
      <c r="H1023" s="160"/>
      <c r="I1023" s="160"/>
      <c r="J1023" s="160"/>
      <c r="K1023" s="160"/>
      <c r="L1023" s="160"/>
      <c r="M1023" s="160"/>
    </row>
    <row r="1024" spans="2:13">
      <c r="B1024" s="400"/>
      <c r="C1024" s="160"/>
      <c r="D1024" s="160"/>
      <c r="E1024" s="160"/>
      <c r="F1024" s="160"/>
      <c r="G1024" s="160"/>
      <c r="H1024" s="160"/>
      <c r="I1024" s="160"/>
      <c r="J1024" s="160"/>
      <c r="K1024" s="160"/>
      <c r="L1024" s="160"/>
      <c r="M1024" s="160"/>
    </row>
    <row r="1025" spans="2:13">
      <c r="B1025" s="400"/>
      <c r="C1025" s="160"/>
      <c r="D1025" s="160"/>
      <c r="E1025" s="160"/>
      <c r="F1025" s="160"/>
      <c r="G1025" s="160"/>
      <c r="H1025" s="160"/>
      <c r="I1025" s="160"/>
      <c r="J1025" s="160"/>
      <c r="K1025" s="160"/>
      <c r="L1025" s="160"/>
      <c r="M1025" s="160"/>
    </row>
    <row r="1026" spans="2:13">
      <c r="B1026" s="400"/>
      <c r="C1026" s="160"/>
      <c r="D1026" s="160"/>
      <c r="E1026" s="160"/>
      <c r="F1026" s="160"/>
      <c r="G1026" s="160"/>
      <c r="H1026" s="160"/>
      <c r="I1026" s="160"/>
      <c r="J1026" s="160"/>
      <c r="K1026" s="160"/>
      <c r="L1026" s="160"/>
      <c r="M1026" s="160"/>
    </row>
    <row r="1027" spans="2:13">
      <c r="B1027" s="400"/>
      <c r="C1027" s="160"/>
      <c r="D1027" s="160"/>
      <c r="E1027" s="160"/>
      <c r="F1027" s="160"/>
      <c r="G1027" s="160"/>
      <c r="H1027" s="160"/>
      <c r="I1027" s="160"/>
      <c r="J1027" s="160"/>
      <c r="K1027" s="160"/>
      <c r="L1027" s="160"/>
      <c r="M1027" s="160"/>
    </row>
    <row r="1028" spans="2:13">
      <c r="B1028" s="400"/>
      <c r="C1028" s="160"/>
      <c r="D1028" s="160"/>
      <c r="E1028" s="160"/>
      <c r="F1028" s="160"/>
      <c r="G1028" s="160"/>
      <c r="H1028" s="160"/>
      <c r="I1028" s="160"/>
      <c r="J1028" s="160"/>
      <c r="K1028" s="160"/>
      <c r="L1028" s="160"/>
      <c r="M1028" s="160"/>
    </row>
    <row r="1029" spans="2:13">
      <c r="B1029" s="400"/>
      <c r="C1029" s="160"/>
      <c r="D1029" s="160"/>
      <c r="E1029" s="160"/>
      <c r="F1029" s="160"/>
      <c r="G1029" s="160"/>
      <c r="H1029" s="160"/>
      <c r="I1029" s="160"/>
      <c r="J1029" s="160"/>
      <c r="K1029" s="160"/>
      <c r="L1029" s="160"/>
      <c r="M1029" s="160"/>
    </row>
    <row r="1030" spans="2:13">
      <c r="B1030" s="400"/>
      <c r="C1030" s="160"/>
      <c r="D1030" s="160"/>
      <c r="E1030" s="160"/>
      <c r="F1030" s="160"/>
      <c r="G1030" s="160"/>
      <c r="H1030" s="160"/>
      <c r="I1030" s="160"/>
      <c r="J1030" s="160"/>
      <c r="K1030" s="160"/>
      <c r="L1030" s="160"/>
      <c r="M1030" s="160"/>
    </row>
    <row r="1031" spans="2:13">
      <c r="B1031" s="400"/>
      <c r="C1031" s="160"/>
      <c r="D1031" s="160"/>
      <c r="E1031" s="160"/>
      <c r="F1031" s="160"/>
      <c r="G1031" s="160"/>
      <c r="H1031" s="160"/>
      <c r="I1031" s="160"/>
      <c r="J1031" s="160"/>
      <c r="K1031" s="160"/>
      <c r="L1031" s="160"/>
      <c r="M1031" s="160"/>
    </row>
    <row r="1032" spans="2:13">
      <c r="B1032" s="400"/>
      <c r="C1032" s="160"/>
      <c r="D1032" s="160"/>
      <c r="E1032" s="160"/>
      <c r="F1032" s="160"/>
      <c r="G1032" s="160"/>
      <c r="H1032" s="160"/>
      <c r="I1032" s="160"/>
      <c r="J1032" s="160"/>
      <c r="K1032" s="160"/>
      <c r="L1032" s="160"/>
      <c r="M1032" s="160"/>
    </row>
    <row r="1033" spans="2:13">
      <c r="B1033" s="400"/>
      <c r="C1033" s="160"/>
      <c r="D1033" s="160"/>
      <c r="E1033" s="160"/>
      <c r="F1033" s="160"/>
      <c r="G1033" s="160"/>
      <c r="H1033" s="160"/>
      <c r="I1033" s="160"/>
      <c r="J1033" s="160"/>
      <c r="K1033" s="160"/>
      <c r="L1033" s="160"/>
      <c r="M1033" s="160"/>
    </row>
    <row r="1034" spans="2:13">
      <c r="B1034" s="400"/>
      <c r="C1034" s="160"/>
      <c r="D1034" s="160"/>
      <c r="E1034" s="160"/>
      <c r="F1034" s="160"/>
      <c r="G1034" s="160"/>
      <c r="H1034" s="160"/>
      <c r="I1034" s="160"/>
      <c r="J1034" s="160"/>
      <c r="K1034" s="160"/>
      <c r="L1034" s="160"/>
      <c r="M1034" s="160"/>
    </row>
    <row r="1035" spans="2:13">
      <c r="B1035" s="400"/>
      <c r="C1035" s="160"/>
      <c r="D1035" s="160"/>
      <c r="E1035" s="160"/>
      <c r="F1035" s="160"/>
      <c r="G1035" s="160"/>
      <c r="H1035" s="160"/>
      <c r="I1035" s="160"/>
      <c r="J1035" s="160"/>
      <c r="K1035" s="160"/>
      <c r="L1035" s="160"/>
      <c r="M1035" s="160"/>
    </row>
    <row r="1036" spans="2:13">
      <c r="B1036" s="400"/>
      <c r="C1036" s="160"/>
      <c r="D1036" s="160"/>
      <c r="E1036" s="160"/>
      <c r="F1036" s="160"/>
      <c r="G1036" s="160"/>
      <c r="H1036" s="160"/>
      <c r="I1036" s="160"/>
      <c r="J1036" s="160"/>
      <c r="K1036" s="160"/>
      <c r="L1036" s="160"/>
      <c r="M1036" s="160"/>
    </row>
    <row r="1037" spans="2:13">
      <c r="B1037" s="400"/>
      <c r="C1037" s="160"/>
      <c r="D1037" s="160"/>
      <c r="E1037" s="160"/>
      <c r="F1037" s="160"/>
      <c r="G1037" s="160"/>
      <c r="H1037" s="160"/>
      <c r="I1037" s="160"/>
      <c r="J1037" s="160"/>
      <c r="K1037" s="160"/>
      <c r="L1037" s="160"/>
      <c r="M1037" s="160"/>
    </row>
    <row r="1038" spans="2:13">
      <c r="B1038" s="400"/>
      <c r="C1038" s="160"/>
      <c r="D1038" s="160"/>
      <c r="E1038" s="160"/>
      <c r="F1038" s="160"/>
      <c r="G1038" s="160"/>
      <c r="H1038" s="160"/>
      <c r="I1038" s="160"/>
      <c r="J1038" s="160"/>
      <c r="K1038" s="160"/>
      <c r="L1038" s="160"/>
      <c r="M1038" s="160"/>
    </row>
    <row r="1039" spans="2:13">
      <c r="B1039" s="400"/>
      <c r="C1039" s="160"/>
      <c r="D1039" s="160"/>
      <c r="E1039" s="160"/>
      <c r="F1039" s="160"/>
      <c r="G1039" s="160"/>
      <c r="H1039" s="160"/>
      <c r="I1039" s="160"/>
      <c r="J1039" s="160"/>
      <c r="K1039" s="160"/>
      <c r="L1039" s="160"/>
      <c r="M1039" s="160"/>
    </row>
    <row r="1040" spans="2:13">
      <c r="B1040" s="400"/>
      <c r="C1040" s="160"/>
      <c r="D1040" s="160"/>
      <c r="E1040" s="160"/>
      <c r="F1040" s="160"/>
      <c r="G1040" s="160"/>
      <c r="H1040" s="160"/>
      <c r="I1040" s="160"/>
      <c r="J1040" s="160"/>
      <c r="K1040" s="160"/>
      <c r="L1040" s="160"/>
      <c r="M1040" s="160"/>
    </row>
    <row r="1041" spans="2:13">
      <c r="B1041" s="400"/>
      <c r="C1041" s="160"/>
      <c r="D1041" s="160"/>
      <c r="E1041" s="160"/>
      <c r="F1041" s="160"/>
      <c r="G1041" s="160"/>
      <c r="H1041" s="160"/>
      <c r="I1041" s="160"/>
      <c r="J1041" s="160"/>
      <c r="K1041" s="160"/>
      <c r="L1041" s="160"/>
      <c r="M1041" s="160"/>
    </row>
    <row r="1042" spans="2:13">
      <c r="B1042" s="400"/>
      <c r="C1042" s="160"/>
      <c r="D1042" s="160"/>
      <c r="E1042" s="160"/>
      <c r="F1042" s="160"/>
      <c r="G1042" s="160"/>
      <c r="H1042" s="160"/>
      <c r="I1042" s="160"/>
      <c r="J1042" s="160"/>
      <c r="K1042" s="160"/>
      <c r="L1042" s="160"/>
      <c r="M1042" s="160"/>
    </row>
    <row r="1043" spans="2:13">
      <c r="B1043" s="400"/>
      <c r="C1043" s="160"/>
      <c r="D1043" s="160"/>
      <c r="E1043" s="160"/>
      <c r="F1043" s="160"/>
      <c r="G1043" s="160"/>
      <c r="H1043" s="160"/>
      <c r="I1043" s="160"/>
      <c r="J1043" s="160"/>
      <c r="K1043" s="160"/>
      <c r="L1043" s="160"/>
      <c r="M1043" s="160"/>
    </row>
    <row r="1044" spans="2:13">
      <c r="B1044" s="400"/>
      <c r="C1044" s="160"/>
      <c r="D1044" s="160"/>
      <c r="E1044" s="160"/>
      <c r="F1044" s="160"/>
      <c r="G1044" s="160"/>
      <c r="H1044" s="160"/>
      <c r="I1044" s="160"/>
      <c r="J1044" s="160"/>
      <c r="K1044" s="160"/>
      <c r="L1044" s="160"/>
      <c r="M1044" s="160"/>
    </row>
    <row r="1045" spans="2:13">
      <c r="B1045" s="400"/>
      <c r="C1045" s="160"/>
      <c r="D1045" s="160"/>
      <c r="E1045" s="160"/>
      <c r="F1045" s="160"/>
      <c r="G1045" s="160"/>
      <c r="H1045" s="160"/>
      <c r="I1045" s="160"/>
      <c r="J1045" s="160"/>
      <c r="K1045" s="160"/>
      <c r="L1045" s="160"/>
      <c r="M1045" s="160"/>
    </row>
    <row r="1046" spans="2:13">
      <c r="B1046" s="400"/>
      <c r="C1046" s="160"/>
      <c r="D1046" s="160"/>
      <c r="E1046" s="160"/>
      <c r="F1046" s="160"/>
      <c r="G1046" s="160"/>
      <c r="H1046" s="160"/>
      <c r="I1046" s="160"/>
      <c r="J1046" s="160"/>
      <c r="K1046" s="160"/>
      <c r="L1046" s="160"/>
      <c r="M1046" s="160"/>
    </row>
    <row r="1047" spans="2:13">
      <c r="B1047" s="400"/>
      <c r="C1047" s="160"/>
      <c r="D1047" s="160"/>
      <c r="E1047" s="160"/>
      <c r="F1047" s="160"/>
      <c r="G1047" s="160"/>
      <c r="H1047" s="160"/>
      <c r="I1047" s="160"/>
      <c r="J1047" s="160"/>
      <c r="K1047" s="160"/>
      <c r="L1047" s="160"/>
      <c r="M1047" s="160"/>
    </row>
    <row r="1048" spans="2:13">
      <c r="B1048" s="400"/>
      <c r="C1048" s="160"/>
      <c r="D1048" s="160"/>
      <c r="E1048" s="160"/>
      <c r="F1048" s="160"/>
      <c r="G1048" s="160"/>
      <c r="H1048" s="160"/>
      <c r="I1048" s="160"/>
      <c r="J1048" s="160"/>
      <c r="K1048" s="160"/>
      <c r="L1048" s="160"/>
      <c r="M1048" s="160"/>
    </row>
    <row r="1049" spans="2:13">
      <c r="B1049" s="400"/>
      <c r="C1049" s="160"/>
      <c r="D1049" s="160"/>
      <c r="E1049" s="160"/>
      <c r="F1049" s="160"/>
      <c r="G1049" s="160"/>
      <c r="H1049" s="160"/>
      <c r="I1049" s="160"/>
      <c r="J1049" s="160"/>
      <c r="K1049" s="160"/>
      <c r="L1049" s="160"/>
      <c r="M1049" s="160"/>
    </row>
    <row r="1050" spans="2:13">
      <c r="B1050" s="400"/>
      <c r="C1050" s="160"/>
      <c r="D1050" s="160"/>
      <c r="E1050" s="160"/>
      <c r="F1050" s="160"/>
      <c r="G1050" s="160"/>
      <c r="H1050" s="160"/>
      <c r="I1050" s="160"/>
      <c r="J1050" s="160"/>
      <c r="K1050" s="160"/>
      <c r="L1050" s="160"/>
      <c r="M1050" s="160"/>
    </row>
    <row r="1051" spans="2:13">
      <c r="B1051" s="400"/>
      <c r="C1051" s="160"/>
      <c r="D1051" s="160"/>
      <c r="E1051" s="160"/>
      <c r="F1051" s="160"/>
      <c r="G1051" s="160"/>
      <c r="H1051" s="160"/>
      <c r="I1051" s="160"/>
      <c r="J1051" s="160"/>
      <c r="K1051" s="160"/>
      <c r="L1051" s="160"/>
      <c r="M1051" s="160"/>
    </row>
    <row r="1052" spans="2:13">
      <c r="B1052" s="400"/>
      <c r="C1052" s="160"/>
      <c r="D1052" s="160"/>
      <c r="E1052" s="160"/>
      <c r="F1052" s="160"/>
      <c r="G1052" s="160"/>
      <c r="H1052" s="160"/>
      <c r="I1052" s="160"/>
      <c r="J1052" s="160"/>
      <c r="K1052" s="160"/>
      <c r="L1052" s="160"/>
      <c r="M1052" s="160"/>
    </row>
    <row r="1053" spans="2:13">
      <c r="B1053" s="400"/>
      <c r="C1053" s="160"/>
      <c r="D1053" s="160"/>
      <c r="E1053" s="160"/>
      <c r="F1053" s="160"/>
      <c r="G1053" s="160"/>
      <c r="H1053" s="160"/>
      <c r="I1053" s="160"/>
      <c r="J1053" s="160"/>
      <c r="K1053" s="160"/>
      <c r="L1053" s="160"/>
      <c r="M1053" s="160"/>
    </row>
    <row r="1054" spans="2:13">
      <c r="B1054" s="400"/>
      <c r="C1054" s="160"/>
      <c r="D1054" s="160"/>
      <c r="E1054" s="160"/>
      <c r="F1054" s="160"/>
      <c r="G1054" s="160"/>
      <c r="H1054" s="160"/>
      <c r="I1054" s="160"/>
      <c r="J1054" s="160"/>
      <c r="K1054" s="160"/>
      <c r="L1054" s="160"/>
      <c r="M1054" s="160"/>
    </row>
    <row r="1055" spans="2:13">
      <c r="B1055" s="400"/>
      <c r="C1055" s="160"/>
      <c r="D1055" s="160"/>
      <c r="E1055" s="160"/>
      <c r="F1055" s="160"/>
      <c r="G1055" s="160"/>
      <c r="H1055" s="160"/>
      <c r="I1055" s="160"/>
      <c r="J1055" s="160"/>
      <c r="K1055" s="160"/>
      <c r="L1055" s="160"/>
      <c r="M1055" s="160"/>
    </row>
    <row r="1056" spans="2:13">
      <c r="B1056" s="400"/>
      <c r="C1056" s="160"/>
      <c r="D1056" s="160"/>
      <c r="E1056" s="160"/>
      <c r="F1056" s="160"/>
      <c r="G1056" s="160"/>
      <c r="H1056" s="160"/>
      <c r="I1056" s="160"/>
      <c r="J1056" s="160"/>
      <c r="K1056" s="160"/>
      <c r="L1056" s="160"/>
      <c r="M1056" s="160"/>
    </row>
    <row r="1057" spans="2:13">
      <c r="B1057" s="400"/>
      <c r="C1057" s="160"/>
      <c r="D1057" s="160"/>
      <c r="E1057" s="160"/>
      <c r="F1057" s="160"/>
      <c r="G1057" s="160"/>
      <c r="H1057" s="160"/>
      <c r="I1057" s="160"/>
      <c r="J1057" s="160"/>
      <c r="K1057" s="160"/>
      <c r="L1057" s="160"/>
      <c r="M1057" s="160"/>
    </row>
    <row r="1058" spans="2:13">
      <c r="B1058" s="400"/>
      <c r="C1058" s="160"/>
      <c r="D1058" s="160"/>
      <c r="E1058" s="160"/>
      <c r="F1058" s="160"/>
      <c r="G1058" s="160"/>
      <c r="H1058" s="160"/>
      <c r="I1058" s="160"/>
      <c r="J1058" s="160"/>
      <c r="K1058" s="160"/>
      <c r="L1058" s="160"/>
      <c r="M1058" s="160"/>
    </row>
    <row r="1059" spans="2:13">
      <c r="B1059" s="400"/>
      <c r="C1059" s="160"/>
      <c r="D1059" s="160"/>
      <c r="E1059" s="160"/>
      <c r="F1059" s="160"/>
      <c r="G1059" s="160"/>
      <c r="H1059" s="160"/>
      <c r="I1059" s="160"/>
      <c r="J1059" s="160"/>
      <c r="K1059" s="160"/>
      <c r="L1059" s="160"/>
      <c r="M1059" s="160"/>
    </row>
    <row r="1060" spans="2:13">
      <c r="B1060" s="400"/>
      <c r="C1060" s="160"/>
      <c r="D1060" s="160"/>
      <c r="E1060" s="160"/>
      <c r="F1060" s="160"/>
      <c r="G1060" s="160"/>
      <c r="H1060" s="160"/>
      <c r="I1060" s="160"/>
      <c r="J1060" s="160"/>
      <c r="K1060" s="160"/>
      <c r="L1060" s="160"/>
      <c r="M1060" s="160"/>
    </row>
    <row r="1061" spans="2:13">
      <c r="B1061" s="400"/>
      <c r="C1061" s="160"/>
      <c r="D1061" s="160"/>
      <c r="E1061" s="160"/>
      <c r="F1061" s="160"/>
      <c r="G1061" s="160"/>
      <c r="H1061" s="160"/>
      <c r="I1061" s="160"/>
      <c r="J1061" s="160"/>
      <c r="K1061" s="160"/>
      <c r="L1061" s="160"/>
      <c r="M1061" s="160"/>
    </row>
    <row r="1062" spans="2:13">
      <c r="B1062" s="400"/>
      <c r="C1062" s="160"/>
      <c r="D1062" s="160"/>
      <c r="E1062" s="160"/>
      <c r="F1062" s="160"/>
      <c r="G1062" s="160"/>
      <c r="H1062" s="160"/>
      <c r="I1062" s="160"/>
      <c r="J1062" s="160"/>
      <c r="K1062" s="160"/>
      <c r="L1062" s="160"/>
      <c r="M1062" s="160"/>
    </row>
    <row r="1063" spans="2:13">
      <c r="B1063" s="400"/>
      <c r="C1063" s="160"/>
      <c r="D1063" s="160"/>
      <c r="E1063" s="160"/>
      <c r="F1063" s="160"/>
      <c r="G1063" s="160"/>
      <c r="H1063" s="160"/>
      <c r="I1063" s="160"/>
      <c r="J1063" s="160"/>
      <c r="K1063" s="160"/>
      <c r="L1063" s="160"/>
      <c r="M1063" s="160"/>
    </row>
    <row r="1064" spans="2:13">
      <c r="B1064" s="400"/>
      <c r="C1064" s="160"/>
      <c r="D1064" s="160"/>
      <c r="E1064" s="160"/>
      <c r="F1064" s="160"/>
      <c r="G1064" s="160"/>
      <c r="H1064" s="160"/>
      <c r="I1064" s="160"/>
      <c r="J1064" s="160"/>
      <c r="K1064" s="160"/>
      <c r="L1064" s="160"/>
      <c r="M1064" s="160"/>
    </row>
    <row r="1065" spans="2:13">
      <c r="B1065" s="400"/>
      <c r="C1065" s="160"/>
      <c r="D1065" s="160"/>
      <c r="E1065" s="160"/>
      <c r="F1065" s="160"/>
      <c r="G1065" s="160"/>
      <c r="H1065" s="160"/>
      <c r="I1065" s="160"/>
      <c r="J1065" s="160"/>
      <c r="K1065" s="160"/>
      <c r="L1065" s="160"/>
      <c r="M1065" s="160"/>
    </row>
    <row r="1066" spans="2:13">
      <c r="B1066" s="400"/>
      <c r="C1066" s="160"/>
      <c r="D1066" s="160"/>
      <c r="E1066" s="160"/>
      <c r="F1066" s="160"/>
      <c r="G1066" s="160"/>
      <c r="H1066" s="160"/>
      <c r="I1066" s="160"/>
      <c r="J1066" s="160"/>
      <c r="K1066" s="160"/>
      <c r="L1066" s="160"/>
      <c r="M1066" s="160"/>
    </row>
    <row r="1067" spans="2:13">
      <c r="B1067" s="400"/>
      <c r="C1067" s="160"/>
      <c r="D1067" s="160"/>
      <c r="E1067" s="160"/>
      <c r="F1067" s="160"/>
      <c r="G1067" s="160"/>
      <c r="H1067" s="160"/>
      <c r="I1067" s="160"/>
      <c r="J1067" s="160"/>
      <c r="K1067" s="160"/>
      <c r="L1067" s="160"/>
      <c r="M1067" s="160"/>
    </row>
    <row r="1068" spans="2:13">
      <c r="B1068" s="400"/>
      <c r="C1068" s="160"/>
      <c r="D1068" s="160"/>
      <c r="E1068" s="160"/>
      <c r="F1068" s="160"/>
      <c r="G1068" s="160"/>
      <c r="H1068" s="160"/>
      <c r="I1068" s="160"/>
      <c r="J1068" s="160"/>
      <c r="K1068" s="160"/>
      <c r="L1068" s="160"/>
      <c r="M1068" s="160"/>
    </row>
    <row r="1069" spans="2:13">
      <c r="B1069" s="400"/>
      <c r="C1069" s="160"/>
      <c r="D1069" s="160"/>
      <c r="E1069" s="160"/>
      <c r="F1069" s="160"/>
      <c r="G1069" s="160"/>
      <c r="H1069" s="160"/>
      <c r="I1069" s="160"/>
      <c r="J1069" s="160"/>
      <c r="K1069" s="160"/>
      <c r="L1069" s="160"/>
      <c r="M1069" s="160"/>
    </row>
    <row r="1070" spans="2:13">
      <c r="B1070" s="400"/>
      <c r="C1070" s="160"/>
      <c r="D1070" s="160"/>
      <c r="E1070" s="160"/>
      <c r="F1070" s="160"/>
      <c r="G1070" s="160"/>
      <c r="H1070" s="160"/>
      <c r="I1070" s="160"/>
      <c r="J1070" s="160"/>
      <c r="K1070" s="160"/>
      <c r="L1070" s="160"/>
      <c r="M1070" s="160"/>
    </row>
    <row r="1071" spans="2:13">
      <c r="B1071" s="400"/>
      <c r="C1071" s="160"/>
      <c r="D1071" s="160"/>
      <c r="E1071" s="160"/>
      <c r="F1071" s="160"/>
      <c r="G1071" s="160"/>
      <c r="H1071" s="160"/>
      <c r="I1071" s="160"/>
      <c r="J1071" s="160"/>
      <c r="K1071" s="160"/>
      <c r="L1071" s="160"/>
      <c r="M1071" s="160"/>
    </row>
    <row r="1072" spans="2:13">
      <c r="B1072" s="400"/>
      <c r="C1072" s="160"/>
      <c r="D1072" s="160"/>
      <c r="E1072" s="160"/>
      <c r="F1072" s="160"/>
      <c r="G1072" s="160"/>
      <c r="H1072" s="160"/>
      <c r="I1072" s="160"/>
      <c r="J1072" s="160"/>
      <c r="K1072" s="160"/>
      <c r="L1072" s="160"/>
      <c r="M1072" s="160"/>
    </row>
    <row r="1073" spans="2:13">
      <c r="B1073" s="400"/>
      <c r="C1073" s="160"/>
      <c r="D1073" s="160"/>
      <c r="E1073" s="160"/>
      <c r="F1073" s="160"/>
      <c r="G1073" s="160"/>
      <c r="H1073" s="160"/>
      <c r="I1073" s="160"/>
      <c r="J1073" s="160"/>
      <c r="K1073" s="160"/>
      <c r="L1073" s="160"/>
      <c r="M1073" s="160"/>
    </row>
    <row r="1074" spans="2:13">
      <c r="B1074" s="400"/>
      <c r="C1074" s="160"/>
      <c r="D1074" s="160"/>
      <c r="E1074" s="160"/>
      <c r="F1074" s="160"/>
      <c r="G1074" s="160"/>
      <c r="H1074" s="160"/>
      <c r="I1074" s="160"/>
      <c r="J1074" s="160"/>
      <c r="K1074" s="160"/>
      <c r="L1074" s="160"/>
      <c r="M1074" s="160"/>
    </row>
    <row r="1075" spans="2:13">
      <c r="B1075" s="400"/>
      <c r="C1075" s="160"/>
      <c r="D1075" s="160"/>
      <c r="E1075" s="160"/>
      <c r="F1075" s="160"/>
      <c r="G1075" s="160"/>
      <c r="H1075" s="160"/>
      <c r="I1075" s="160"/>
      <c r="J1075" s="160"/>
      <c r="K1075" s="160"/>
      <c r="L1075" s="160"/>
      <c r="M1075" s="160"/>
    </row>
    <row r="1076" spans="2:13">
      <c r="B1076" s="400"/>
      <c r="C1076" s="160"/>
      <c r="D1076" s="160"/>
      <c r="E1076" s="160"/>
      <c r="F1076" s="160"/>
      <c r="G1076" s="160"/>
      <c r="H1076" s="160"/>
      <c r="I1076" s="160"/>
      <c r="J1076" s="160"/>
      <c r="K1076" s="160"/>
      <c r="L1076" s="160"/>
      <c r="M1076" s="160"/>
    </row>
    <row r="1077" spans="2:13">
      <c r="B1077" s="400"/>
      <c r="C1077" s="160"/>
      <c r="D1077" s="160"/>
      <c r="E1077" s="160"/>
      <c r="F1077" s="160"/>
      <c r="G1077" s="160"/>
      <c r="H1077" s="160"/>
      <c r="I1077" s="160"/>
      <c r="J1077" s="160"/>
      <c r="K1077" s="160"/>
      <c r="L1077" s="160"/>
      <c r="M1077" s="160"/>
    </row>
    <row r="1078" spans="2:13">
      <c r="B1078" s="400"/>
      <c r="C1078" s="160"/>
      <c r="D1078" s="160"/>
      <c r="E1078" s="160"/>
      <c r="F1078" s="160"/>
      <c r="G1078" s="160"/>
      <c r="H1078" s="160"/>
      <c r="I1078" s="160"/>
      <c r="J1078" s="160"/>
      <c r="K1078" s="160"/>
      <c r="L1078" s="160"/>
      <c r="M1078" s="160"/>
    </row>
    <row r="1079" spans="2:13">
      <c r="B1079" s="400"/>
      <c r="C1079" s="160"/>
      <c r="D1079" s="160"/>
      <c r="E1079" s="160"/>
      <c r="F1079" s="160"/>
      <c r="G1079" s="160"/>
      <c r="H1079" s="160"/>
      <c r="I1079" s="160"/>
      <c r="J1079" s="160"/>
      <c r="K1079" s="160"/>
      <c r="L1079" s="160"/>
      <c r="M1079" s="160"/>
    </row>
    <row r="1080" spans="2:13">
      <c r="B1080" s="400"/>
      <c r="C1080" s="160"/>
      <c r="D1080" s="160"/>
      <c r="E1080" s="160"/>
      <c r="F1080" s="160"/>
      <c r="G1080" s="160"/>
      <c r="H1080" s="160"/>
      <c r="I1080" s="160"/>
      <c r="J1080" s="160"/>
      <c r="K1080" s="160"/>
      <c r="L1080" s="160"/>
      <c r="M1080" s="160"/>
    </row>
    <row r="1081" spans="2:13">
      <c r="B1081" s="400"/>
      <c r="C1081" s="160"/>
      <c r="D1081" s="160"/>
      <c r="E1081" s="160"/>
      <c r="F1081" s="160"/>
      <c r="G1081" s="160"/>
      <c r="H1081" s="160"/>
      <c r="I1081" s="160"/>
      <c r="J1081" s="160"/>
      <c r="K1081" s="160"/>
      <c r="L1081" s="160"/>
      <c r="M1081" s="160"/>
    </row>
    <row r="1082" spans="2:13">
      <c r="B1082" s="400"/>
      <c r="C1082" s="160"/>
      <c r="D1082" s="160"/>
      <c r="E1082" s="160"/>
      <c r="F1082" s="160"/>
      <c r="G1082" s="160"/>
      <c r="H1082" s="160"/>
      <c r="I1082" s="160"/>
      <c r="J1082" s="160"/>
      <c r="K1082" s="160"/>
      <c r="L1082" s="160"/>
      <c r="M1082" s="160"/>
    </row>
    <row r="1083" spans="2:13">
      <c r="B1083" s="400"/>
      <c r="C1083" s="160"/>
      <c r="D1083" s="160"/>
      <c r="E1083" s="160"/>
      <c r="F1083" s="160"/>
      <c r="G1083" s="160"/>
      <c r="H1083" s="160"/>
      <c r="I1083" s="160"/>
      <c r="J1083" s="160"/>
      <c r="K1083" s="160"/>
      <c r="L1083" s="160"/>
      <c r="M1083" s="160"/>
    </row>
    <row r="1084" spans="2:13">
      <c r="B1084" s="400"/>
      <c r="C1084" s="160"/>
      <c r="D1084" s="160"/>
      <c r="E1084" s="160"/>
      <c r="F1084" s="160"/>
      <c r="G1084" s="160"/>
      <c r="H1084" s="160"/>
      <c r="I1084" s="160"/>
      <c r="J1084" s="160"/>
      <c r="K1084" s="160"/>
      <c r="L1084" s="160"/>
      <c r="M1084" s="160"/>
    </row>
    <row r="1085" spans="2:13">
      <c r="B1085" s="400"/>
      <c r="C1085" s="160"/>
      <c r="D1085" s="160"/>
      <c r="E1085" s="160"/>
      <c r="F1085" s="160"/>
      <c r="G1085" s="160"/>
      <c r="H1085" s="160"/>
      <c r="I1085" s="160"/>
      <c r="J1085" s="160"/>
      <c r="K1085" s="160"/>
      <c r="L1085" s="160"/>
      <c r="M1085" s="160"/>
    </row>
    <row r="1086" spans="2:13">
      <c r="B1086" s="400"/>
      <c r="C1086" s="160"/>
      <c r="D1086" s="160"/>
      <c r="E1086" s="160"/>
      <c r="F1086" s="160"/>
      <c r="G1086" s="160"/>
      <c r="H1086" s="160"/>
      <c r="I1086" s="160"/>
      <c r="J1086" s="160"/>
      <c r="K1086" s="160"/>
      <c r="L1086" s="160"/>
      <c r="M1086" s="160"/>
    </row>
    <row r="1087" spans="2:13">
      <c r="B1087" s="400"/>
      <c r="C1087" s="160"/>
      <c r="D1087" s="160"/>
      <c r="E1087" s="160"/>
      <c r="F1087" s="160"/>
      <c r="G1087" s="160"/>
      <c r="H1087" s="160"/>
      <c r="I1087" s="160"/>
      <c r="J1087" s="160"/>
      <c r="K1087" s="160"/>
      <c r="L1087" s="160"/>
      <c r="M1087" s="160"/>
    </row>
    <row r="1088" spans="2:13">
      <c r="B1088" s="400"/>
      <c r="C1088" s="160"/>
      <c r="D1088" s="160"/>
      <c r="E1088" s="160"/>
      <c r="F1088" s="160"/>
      <c r="G1088" s="160"/>
      <c r="H1088" s="160"/>
      <c r="I1088" s="160"/>
      <c r="J1088" s="160"/>
      <c r="K1088" s="160"/>
      <c r="L1088" s="160"/>
      <c r="M1088" s="160"/>
    </row>
    <row r="1089" spans="2:13">
      <c r="B1089" s="400"/>
      <c r="C1089" s="160"/>
      <c r="D1089" s="160"/>
      <c r="E1089" s="160"/>
      <c r="F1089" s="160"/>
      <c r="G1089" s="160"/>
      <c r="H1089" s="160"/>
      <c r="I1089" s="160"/>
      <c r="J1089" s="160"/>
      <c r="K1089" s="160"/>
      <c r="L1089" s="160"/>
      <c r="M1089" s="160"/>
    </row>
    <row r="1090" spans="2:13">
      <c r="B1090" s="400"/>
      <c r="C1090" s="160"/>
      <c r="D1090" s="160"/>
      <c r="E1090" s="160"/>
      <c r="F1090" s="160"/>
      <c r="G1090" s="160"/>
      <c r="H1090" s="160"/>
      <c r="I1090" s="160"/>
      <c r="J1090" s="160"/>
      <c r="K1090" s="160"/>
      <c r="L1090" s="160"/>
      <c r="M1090" s="160"/>
    </row>
    <row r="1091" spans="2:13">
      <c r="B1091" s="400"/>
      <c r="C1091" s="160"/>
      <c r="D1091" s="160"/>
      <c r="E1091" s="160"/>
      <c r="F1091" s="160"/>
      <c r="G1091" s="160"/>
      <c r="H1091" s="160"/>
      <c r="I1091" s="160"/>
      <c r="J1091" s="160"/>
      <c r="K1091" s="160"/>
      <c r="L1091" s="160"/>
      <c r="M1091" s="160"/>
    </row>
    <row r="1092" spans="2:13">
      <c r="B1092" s="400"/>
      <c r="C1092" s="160"/>
      <c r="D1092" s="160"/>
      <c r="E1092" s="160"/>
      <c r="F1092" s="160"/>
      <c r="G1092" s="160"/>
      <c r="H1092" s="160"/>
      <c r="I1092" s="160"/>
      <c r="J1092" s="160"/>
      <c r="K1092" s="160"/>
      <c r="L1092" s="160"/>
      <c r="M1092" s="160"/>
    </row>
    <row r="1093" spans="2:13">
      <c r="B1093" s="400"/>
      <c r="C1093" s="160"/>
      <c r="D1093" s="160"/>
      <c r="E1093" s="160"/>
      <c r="F1093" s="160"/>
      <c r="G1093" s="160"/>
      <c r="H1093" s="160"/>
      <c r="I1093" s="160"/>
      <c r="J1093" s="160"/>
      <c r="K1093" s="160"/>
      <c r="L1093" s="160"/>
      <c r="M1093" s="160"/>
    </row>
    <row r="1094" spans="2:13">
      <c r="B1094" s="400"/>
      <c r="C1094" s="160"/>
      <c r="D1094" s="160"/>
      <c r="E1094" s="160"/>
      <c r="F1094" s="160"/>
      <c r="G1094" s="160"/>
      <c r="H1094" s="160"/>
      <c r="I1094" s="160"/>
      <c r="J1094" s="160"/>
      <c r="K1094" s="160"/>
      <c r="L1094" s="160"/>
      <c r="M1094" s="160"/>
    </row>
    <row r="1095" spans="2:13">
      <c r="B1095" s="400"/>
      <c r="C1095" s="160"/>
      <c r="D1095" s="160"/>
      <c r="E1095" s="160"/>
      <c r="F1095" s="160"/>
      <c r="G1095" s="160"/>
      <c r="H1095" s="160"/>
      <c r="I1095" s="160"/>
      <c r="J1095" s="160"/>
      <c r="K1095" s="160"/>
      <c r="L1095" s="160"/>
      <c r="M1095" s="160"/>
    </row>
    <row r="1096" spans="2:13">
      <c r="B1096" s="400"/>
      <c r="C1096" s="160"/>
      <c r="D1096" s="160"/>
      <c r="E1096" s="160"/>
      <c r="F1096" s="160"/>
      <c r="G1096" s="160"/>
      <c r="H1096" s="160"/>
      <c r="I1096" s="160"/>
      <c r="J1096" s="160"/>
      <c r="K1096" s="160"/>
      <c r="L1096" s="160"/>
      <c r="M1096" s="160"/>
    </row>
    <row r="1097" spans="2:13">
      <c r="B1097" s="400"/>
      <c r="C1097" s="160"/>
      <c r="D1097" s="160"/>
      <c r="E1097" s="160"/>
      <c r="F1097" s="160"/>
      <c r="G1097" s="160"/>
      <c r="H1097" s="160"/>
      <c r="I1097" s="160"/>
      <c r="J1097" s="160"/>
      <c r="K1097" s="160"/>
      <c r="L1097" s="160"/>
      <c r="M1097" s="160"/>
    </row>
    <row r="1098" spans="2:13">
      <c r="B1098" s="400"/>
      <c r="C1098" s="160"/>
      <c r="D1098" s="160"/>
      <c r="E1098" s="160"/>
      <c r="F1098" s="160"/>
      <c r="G1098" s="160"/>
      <c r="H1098" s="160"/>
      <c r="I1098" s="160"/>
      <c r="J1098" s="160"/>
      <c r="K1098" s="160"/>
      <c r="L1098" s="160"/>
      <c r="M1098" s="160"/>
    </row>
    <row r="1099" spans="2:13">
      <c r="B1099" s="400"/>
      <c r="C1099" s="160"/>
      <c r="D1099" s="160"/>
      <c r="E1099" s="160"/>
      <c r="F1099" s="160"/>
      <c r="G1099" s="160"/>
      <c r="H1099" s="160"/>
      <c r="I1099" s="160"/>
      <c r="J1099" s="160"/>
      <c r="K1099" s="160"/>
      <c r="L1099" s="160"/>
      <c r="M1099" s="160"/>
    </row>
    <row r="1100" spans="2:13">
      <c r="B1100" s="400"/>
      <c r="C1100" s="160"/>
      <c r="D1100" s="160"/>
      <c r="E1100" s="160"/>
      <c r="F1100" s="160"/>
      <c r="G1100" s="160"/>
      <c r="H1100" s="160"/>
      <c r="I1100" s="160"/>
      <c r="J1100" s="160"/>
      <c r="K1100" s="160"/>
      <c r="L1100" s="160"/>
      <c r="M1100" s="160"/>
    </row>
    <row r="1101" spans="2:13">
      <c r="B1101" s="400"/>
      <c r="C1101" s="160"/>
      <c r="D1101" s="160"/>
      <c r="E1101" s="160"/>
      <c r="F1101" s="160"/>
      <c r="G1101" s="160"/>
      <c r="H1101" s="160"/>
      <c r="I1101" s="160"/>
      <c r="J1101" s="160"/>
      <c r="K1101" s="160"/>
      <c r="L1101" s="160"/>
      <c r="M1101" s="160"/>
    </row>
    <row r="1102" spans="2:13">
      <c r="B1102" s="400"/>
      <c r="C1102" s="160"/>
      <c r="D1102" s="160"/>
      <c r="E1102" s="160"/>
      <c r="F1102" s="160"/>
      <c r="G1102" s="160"/>
      <c r="H1102" s="160"/>
      <c r="I1102" s="160"/>
      <c r="J1102" s="160"/>
      <c r="K1102" s="160"/>
      <c r="L1102" s="160"/>
      <c r="M1102" s="160"/>
    </row>
    <row r="1103" spans="2:13">
      <c r="B1103" s="400"/>
      <c r="C1103" s="160"/>
      <c r="D1103" s="160"/>
      <c r="E1103" s="160"/>
      <c r="F1103" s="160"/>
      <c r="G1103" s="160"/>
      <c r="H1103" s="160"/>
      <c r="I1103" s="160"/>
      <c r="J1103" s="160"/>
      <c r="K1103" s="160"/>
      <c r="L1103" s="160"/>
      <c r="M1103" s="160"/>
    </row>
    <row r="1104" spans="2:13">
      <c r="B1104" s="400"/>
      <c r="C1104" s="160"/>
      <c r="D1104" s="160"/>
      <c r="E1104" s="160"/>
      <c r="F1104" s="160"/>
      <c r="G1104" s="160"/>
      <c r="H1104" s="160"/>
      <c r="I1104" s="160"/>
      <c r="J1104" s="160"/>
      <c r="K1104" s="160"/>
      <c r="L1104" s="160"/>
      <c r="M1104" s="160"/>
    </row>
    <row r="1105" spans="2:13">
      <c r="B1105" s="400"/>
      <c r="C1105" s="160"/>
      <c r="D1105" s="160"/>
      <c r="E1105" s="160"/>
      <c r="F1105" s="160"/>
      <c r="G1105" s="160"/>
      <c r="H1105" s="160"/>
      <c r="I1105" s="160"/>
      <c r="J1105" s="160"/>
      <c r="K1105" s="160"/>
      <c r="L1105" s="160"/>
      <c r="M1105" s="160"/>
    </row>
    <row r="1106" spans="2:13">
      <c r="B1106" s="400"/>
      <c r="C1106" s="160"/>
      <c r="D1106" s="160"/>
      <c r="E1106" s="160"/>
      <c r="F1106" s="160"/>
      <c r="G1106" s="160"/>
      <c r="H1106" s="160"/>
      <c r="I1106" s="160"/>
      <c r="J1106" s="160"/>
      <c r="K1106" s="160"/>
      <c r="L1106" s="160"/>
      <c r="M1106" s="160"/>
    </row>
    <row r="1107" spans="2:13">
      <c r="B1107" s="400"/>
      <c r="C1107" s="160"/>
      <c r="D1107" s="160"/>
      <c r="E1107" s="160"/>
      <c r="F1107" s="160"/>
      <c r="G1107" s="160"/>
      <c r="H1107" s="160"/>
      <c r="I1107" s="160"/>
      <c r="J1107" s="160"/>
      <c r="K1107" s="160"/>
      <c r="L1107" s="160"/>
      <c r="M1107" s="160"/>
    </row>
    <row r="1108" spans="2:13">
      <c r="B1108" s="400"/>
      <c r="C1108" s="160"/>
      <c r="D1108" s="160"/>
      <c r="E1108" s="160"/>
      <c r="F1108" s="160"/>
      <c r="G1108" s="160"/>
      <c r="H1108" s="160"/>
      <c r="I1108" s="160"/>
      <c r="J1108" s="160"/>
      <c r="K1108" s="160"/>
      <c r="L1108" s="160"/>
      <c r="M1108" s="160"/>
    </row>
    <row r="1109" spans="2:13">
      <c r="B1109" s="400"/>
      <c r="C1109" s="160"/>
      <c r="D1109" s="160"/>
      <c r="E1109" s="160"/>
      <c r="F1109" s="160"/>
      <c r="G1109" s="160"/>
      <c r="H1109" s="160"/>
      <c r="I1109" s="160"/>
      <c r="J1109" s="160"/>
      <c r="K1109" s="160"/>
      <c r="L1109" s="160"/>
      <c r="M1109" s="160"/>
    </row>
    <row r="1110" spans="2:13">
      <c r="B1110" s="400"/>
      <c r="C1110" s="160"/>
      <c r="D1110" s="160"/>
      <c r="E1110" s="160"/>
      <c r="F1110" s="160"/>
      <c r="G1110" s="160"/>
      <c r="H1110" s="160"/>
      <c r="I1110" s="160"/>
      <c r="J1110" s="160"/>
      <c r="K1110" s="160"/>
      <c r="L1110" s="160"/>
      <c r="M1110" s="160"/>
    </row>
    <row r="1111" spans="2:13">
      <c r="B1111" s="400"/>
      <c r="C1111" s="160"/>
      <c r="D1111" s="160"/>
      <c r="E1111" s="160"/>
      <c r="F1111" s="160"/>
      <c r="G1111" s="160"/>
      <c r="H1111" s="160"/>
      <c r="I1111" s="160"/>
      <c r="J1111" s="160"/>
      <c r="K1111" s="160"/>
      <c r="L1111" s="160"/>
      <c r="M1111" s="160"/>
    </row>
    <row r="1112" spans="2:13">
      <c r="B1112" s="400"/>
      <c r="C1112" s="160"/>
      <c r="D1112" s="160"/>
      <c r="E1112" s="160"/>
      <c r="F1112" s="160"/>
      <c r="G1112" s="160"/>
      <c r="H1112" s="160"/>
      <c r="I1112" s="160"/>
      <c r="J1112" s="160"/>
      <c r="K1112" s="160"/>
      <c r="L1112" s="160"/>
      <c r="M1112" s="160"/>
    </row>
    <row r="1113" spans="2:13">
      <c r="B1113" s="400"/>
      <c r="C1113" s="160"/>
      <c r="D1113" s="160"/>
      <c r="E1113" s="160"/>
      <c r="F1113" s="160"/>
      <c r="G1113" s="160"/>
      <c r="H1113" s="160"/>
      <c r="I1113" s="160"/>
      <c r="J1113" s="160"/>
      <c r="K1113" s="160"/>
      <c r="L1113" s="160"/>
      <c r="M1113" s="160"/>
    </row>
    <row r="1114" spans="2:13">
      <c r="B1114" s="400"/>
      <c r="C1114" s="160"/>
      <c r="D1114" s="160"/>
      <c r="E1114" s="160"/>
      <c r="F1114" s="160"/>
      <c r="G1114" s="160"/>
      <c r="H1114" s="160"/>
      <c r="I1114" s="160"/>
      <c r="J1114" s="160"/>
      <c r="K1114" s="160"/>
      <c r="L1114" s="160"/>
      <c r="M1114" s="160"/>
    </row>
    <row r="1115" spans="2:13">
      <c r="B1115" s="400"/>
      <c r="C1115" s="160"/>
      <c r="D1115" s="160"/>
      <c r="E1115" s="160"/>
      <c r="F1115" s="160"/>
      <c r="G1115" s="160"/>
      <c r="H1115" s="160"/>
      <c r="I1115" s="160"/>
      <c r="J1115" s="160"/>
      <c r="K1115" s="160"/>
      <c r="L1115" s="160"/>
      <c r="M1115" s="160"/>
    </row>
    <row r="1116" spans="2:13">
      <c r="B1116" s="400"/>
      <c r="C1116" s="160"/>
      <c r="D1116" s="160"/>
      <c r="E1116" s="160"/>
      <c r="F1116" s="160"/>
      <c r="G1116" s="160"/>
      <c r="H1116" s="160"/>
      <c r="I1116" s="160"/>
      <c r="J1116" s="160"/>
      <c r="K1116" s="160"/>
      <c r="L1116" s="160"/>
      <c r="M1116" s="160"/>
    </row>
    <row r="1117" spans="2:13">
      <c r="B1117" s="400"/>
      <c r="C1117" s="160"/>
      <c r="D1117" s="160"/>
      <c r="E1117" s="160"/>
      <c r="F1117" s="160"/>
      <c r="G1117" s="160"/>
      <c r="H1117" s="160"/>
      <c r="I1117" s="160"/>
      <c r="J1117" s="160"/>
      <c r="K1117" s="160"/>
      <c r="L1117" s="160"/>
      <c r="M1117" s="160"/>
    </row>
    <row r="1118" spans="2:13">
      <c r="B1118" s="400"/>
      <c r="C1118" s="160"/>
      <c r="D1118" s="160"/>
      <c r="E1118" s="160"/>
      <c r="F1118" s="160"/>
      <c r="G1118" s="160"/>
      <c r="H1118" s="160"/>
      <c r="I1118" s="160"/>
      <c r="J1118" s="160"/>
      <c r="K1118" s="160"/>
      <c r="L1118" s="160"/>
      <c r="M1118" s="160"/>
    </row>
    <row r="1119" spans="2:13">
      <c r="B1119" s="400"/>
      <c r="C1119" s="160"/>
      <c r="D1119" s="160"/>
      <c r="E1119" s="160"/>
      <c r="F1119" s="160"/>
      <c r="G1119" s="160"/>
      <c r="H1119" s="160"/>
      <c r="I1119" s="160"/>
      <c r="J1119" s="160"/>
      <c r="K1119" s="160"/>
      <c r="L1119" s="160"/>
      <c r="M1119" s="160"/>
    </row>
    <row r="1120" spans="2:13">
      <c r="B1120" s="400"/>
      <c r="C1120" s="160"/>
      <c r="D1120" s="160"/>
      <c r="E1120" s="160"/>
      <c r="F1120" s="160"/>
      <c r="G1120" s="160"/>
      <c r="H1120" s="160"/>
      <c r="I1120" s="160"/>
      <c r="J1120" s="160"/>
      <c r="K1120" s="160"/>
      <c r="L1120" s="160"/>
      <c r="M1120" s="160"/>
    </row>
    <row r="1121" spans="2:13">
      <c r="B1121" s="400"/>
      <c r="C1121" s="160"/>
      <c r="D1121" s="160"/>
      <c r="E1121" s="160"/>
      <c r="F1121" s="160"/>
      <c r="G1121" s="160"/>
      <c r="H1121" s="160"/>
      <c r="I1121" s="160"/>
      <c r="J1121" s="160"/>
      <c r="K1121" s="160"/>
      <c r="L1121" s="160"/>
      <c r="M1121" s="160"/>
    </row>
    <row r="1122" spans="2:13">
      <c r="B1122" s="400"/>
      <c r="C1122" s="160"/>
      <c r="D1122" s="160"/>
      <c r="E1122" s="160"/>
      <c r="F1122" s="160"/>
      <c r="G1122" s="160"/>
      <c r="H1122" s="160"/>
      <c r="I1122" s="160"/>
      <c r="J1122" s="160"/>
      <c r="K1122" s="160"/>
      <c r="L1122" s="160"/>
      <c r="M1122" s="160"/>
    </row>
    <row r="1123" spans="2:13">
      <c r="B1123" s="400"/>
      <c r="C1123" s="160"/>
      <c r="D1123" s="160"/>
      <c r="E1123" s="160"/>
      <c r="F1123" s="160"/>
      <c r="G1123" s="160"/>
      <c r="H1123" s="160"/>
      <c r="I1123" s="160"/>
      <c r="J1123" s="160"/>
      <c r="K1123" s="160"/>
      <c r="L1123" s="160"/>
      <c r="M1123" s="160"/>
    </row>
    <row r="1124" spans="2:13">
      <c r="B1124" s="400"/>
      <c r="C1124" s="160"/>
      <c r="D1124" s="160"/>
      <c r="E1124" s="160"/>
      <c r="F1124" s="160"/>
      <c r="G1124" s="160"/>
      <c r="H1124" s="160"/>
      <c r="I1124" s="160"/>
      <c r="J1124" s="160"/>
      <c r="K1124" s="160"/>
      <c r="L1124" s="160"/>
      <c r="M1124" s="160"/>
    </row>
    <row r="1125" spans="2:13">
      <c r="B1125" s="400"/>
      <c r="C1125" s="160"/>
      <c r="D1125" s="160"/>
      <c r="E1125" s="160"/>
      <c r="F1125" s="160"/>
      <c r="G1125" s="160"/>
      <c r="H1125" s="160"/>
      <c r="I1125" s="160"/>
      <c r="J1125" s="160"/>
      <c r="K1125" s="160"/>
      <c r="L1125" s="160"/>
      <c r="M1125" s="160"/>
    </row>
    <row r="1126" spans="2:13">
      <c r="B1126" s="400"/>
      <c r="C1126" s="160"/>
      <c r="D1126" s="160"/>
      <c r="E1126" s="160"/>
      <c r="F1126" s="160"/>
      <c r="G1126" s="160"/>
      <c r="H1126" s="160"/>
      <c r="I1126" s="160"/>
      <c r="J1126" s="160"/>
      <c r="K1126" s="160"/>
      <c r="L1126" s="160"/>
      <c r="M1126" s="160"/>
    </row>
    <row r="1127" spans="2:13">
      <c r="B1127" s="400"/>
      <c r="C1127" s="160"/>
      <c r="D1127" s="160"/>
      <c r="E1127" s="160"/>
      <c r="F1127" s="160"/>
      <c r="G1127" s="160"/>
      <c r="H1127" s="160"/>
      <c r="I1127" s="160"/>
      <c r="J1127" s="160"/>
      <c r="K1127" s="160"/>
      <c r="L1127" s="160"/>
      <c r="M1127" s="160"/>
    </row>
    <row r="1128" spans="2:13">
      <c r="B1128" s="400"/>
      <c r="C1128" s="160"/>
      <c r="D1128" s="160"/>
      <c r="E1128" s="160"/>
      <c r="F1128" s="160"/>
      <c r="G1128" s="160"/>
      <c r="H1128" s="160"/>
      <c r="I1128" s="160"/>
      <c r="J1128" s="160"/>
      <c r="K1128" s="160"/>
      <c r="L1128" s="160"/>
      <c r="M1128" s="160"/>
    </row>
    <row r="1129" spans="2:13">
      <c r="B1129" s="400"/>
      <c r="C1129" s="160"/>
      <c r="D1129" s="160"/>
      <c r="E1129" s="160"/>
      <c r="F1129" s="160"/>
      <c r="G1129" s="160"/>
      <c r="H1129" s="160"/>
      <c r="I1129" s="160"/>
      <c r="J1129" s="160"/>
      <c r="K1129" s="160"/>
      <c r="L1129" s="160"/>
      <c r="M1129" s="160"/>
    </row>
    <row r="1130" spans="2:13">
      <c r="B1130" s="400"/>
      <c r="C1130" s="160"/>
      <c r="D1130" s="160"/>
      <c r="E1130" s="160"/>
      <c r="F1130" s="160"/>
      <c r="G1130" s="160"/>
      <c r="H1130" s="160"/>
      <c r="I1130" s="160"/>
      <c r="J1130" s="160"/>
      <c r="K1130" s="160"/>
      <c r="L1130" s="160"/>
      <c r="M1130" s="160"/>
    </row>
    <row r="1131" spans="2:13">
      <c r="B1131" s="400"/>
      <c r="C1131" s="160"/>
      <c r="D1131" s="160"/>
      <c r="E1131" s="160"/>
      <c r="F1131" s="160"/>
      <c r="G1131" s="160"/>
      <c r="H1131" s="160"/>
      <c r="I1131" s="160"/>
      <c r="J1131" s="160"/>
      <c r="K1131" s="160"/>
      <c r="L1131" s="160"/>
      <c r="M1131" s="160"/>
    </row>
    <row r="1132" spans="2:13">
      <c r="B1132" s="400"/>
      <c r="C1132" s="160"/>
      <c r="D1132" s="160"/>
      <c r="E1132" s="160"/>
      <c r="F1132" s="160"/>
      <c r="G1132" s="160"/>
      <c r="H1132" s="160"/>
      <c r="I1132" s="160"/>
      <c r="J1132" s="160"/>
      <c r="K1132" s="160"/>
      <c r="L1132" s="160"/>
      <c r="M1132" s="160"/>
    </row>
    <row r="1133" spans="2:13">
      <c r="B1133" s="400"/>
      <c r="C1133" s="160"/>
      <c r="D1133" s="160"/>
      <c r="E1133" s="160"/>
      <c r="F1133" s="160"/>
      <c r="G1133" s="160"/>
      <c r="H1133" s="160"/>
      <c r="I1133" s="160"/>
      <c r="J1133" s="160"/>
      <c r="K1133" s="160"/>
      <c r="L1133" s="160"/>
      <c r="M1133" s="160"/>
    </row>
    <row r="1134" spans="2:13">
      <c r="B1134" s="400"/>
      <c r="C1134" s="160"/>
      <c r="D1134" s="160"/>
      <c r="E1134" s="160"/>
      <c r="F1134" s="160"/>
      <c r="G1134" s="160"/>
      <c r="H1134" s="160"/>
      <c r="I1134" s="160"/>
      <c r="J1134" s="160"/>
      <c r="K1134" s="160"/>
      <c r="L1134" s="160"/>
      <c r="M1134" s="160"/>
    </row>
    <row r="1135" spans="2:13">
      <c r="B1135" s="400"/>
      <c r="C1135" s="160"/>
      <c r="D1135" s="160"/>
      <c r="E1135" s="160"/>
      <c r="F1135" s="160"/>
      <c r="G1135" s="160"/>
      <c r="H1135" s="160"/>
      <c r="I1135" s="160"/>
      <c r="J1135" s="160"/>
      <c r="K1135" s="160"/>
      <c r="L1135" s="160"/>
      <c r="M1135" s="160"/>
    </row>
    <row r="1136" spans="2:13">
      <c r="B1136" s="400"/>
      <c r="C1136" s="160"/>
      <c r="D1136" s="160"/>
      <c r="E1136" s="160"/>
      <c r="F1136" s="160"/>
      <c r="G1136" s="160"/>
      <c r="H1136" s="160"/>
      <c r="I1136" s="160"/>
      <c r="J1136" s="160"/>
      <c r="K1136" s="160"/>
      <c r="L1136" s="160"/>
      <c r="M1136" s="160"/>
    </row>
    <row r="1137" spans="2:13">
      <c r="B1137" s="400"/>
      <c r="C1137" s="160"/>
      <c r="D1137" s="160"/>
      <c r="E1137" s="160"/>
      <c r="F1137" s="160"/>
      <c r="G1137" s="160"/>
      <c r="H1137" s="160"/>
      <c r="I1137" s="160"/>
      <c r="J1137" s="160"/>
      <c r="K1137" s="160"/>
      <c r="L1137" s="160"/>
      <c r="M1137" s="160"/>
    </row>
    <row r="1138" spans="2:13">
      <c r="B1138" s="400"/>
      <c r="C1138" s="160"/>
      <c r="D1138" s="160"/>
      <c r="E1138" s="160"/>
      <c r="F1138" s="160"/>
      <c r="G1138" s="160"/>
      <c r="H1138" s="160"/>
      <c r="I1138" s="160"/>
      <c r="J1138" s="160"/>
      <c r="K1138" s="160"/>
      <c r="L1138" s="160"/>
      <c r="M1138" s="160"/>
    </row>
    <row r="1139" spans="2:13">
      <c r="B1139" s="400"/>
      <c r="C1139" s="160"/>
      <c r="D1139" s="160"/>
      <c r="E1139" s="160"/>
      <c r="F1139" s="160"/>
      <c r="G1139" s="160"/>
      <c r="H1139" s="160"/>
      <c r="I1139" s="160"/>
      <c r="J1139" s="160"/>
      <c r="K1139" s="160"/>
      <c r="L1139" s="160"/>
      <c r="M1139" s="160"/>
    </row>
    <row r="1140" spans="2:13">
      <c r="B1140" s="400"/>
      <c r="C1140" s="160"/>
      <c r="D1140" s="160"/>
      <c r="E1140" s="160"/>
      <c r="F1140" s="160"/>
      <c r="G1140" s="160"/>
      <c r="H1140" s="160"/>
      <c r="I1140" s="160"/>
      <c r="J1140" s="160"/>
      <c r="K1140" s="160"/>
      <c r="L1140" s="160"/>
      <c r="M1140" s="160"/>
    </row>
    <row r="1141" spans="2:13">
      <c r="B1141" s="400"/>
      <c r="C1141" s="160"/>
      <c r="D1141" s="160"/>
      <c r="E1141" s="160"/>
      <c r="F1141" s="160"/>
      <c r="G1141" s="160"/>
      <c r="H1141" s="160"/>
      <c r="I1141" s="160"/>
      <c r="J1141" s="160"/>
      <c r="K1141" s="160"/>
      <c r="L1141" s="160"/>
      <c r="M1141" s="160"/>
    </row>
    <row r="1142" spans="2:13">
      <c r="B1142" s="400"/>
      <c r="C1142" s="160"/>
      <c r="D1142" s="160"/>
      <c r="E1142" s="160"/>
      <c r="F1142" s="160"/>
      <c r="G1142" s="160"/>
      <c r="H1142" s="160"/>
      <c r="I1142" s="160"/>
      <c r="J1142" s="160"/>
      <c r="K1142" s="160"/>
      <c r="L1142" s="160"/>
      <c r="M1142" s="160"/>
    </row>
    <row r="1143" spans="2:13">
      <c r="B1143" s="400"/>
      <c r="C1143" s="160"/>
      <c r="D1143" s="160"/>
      <c r="E1143" s="160"/>
      <c r="F1143" s="160"/>
      <c r="G1143" s="160"/>
      <c r="H1143" s="160"/>
      <c r="I1143" s="160"/>
      <c r="J1143" s="160"/>
      <c r="K1143" s="160"/>
      <c r="L1143" s="160"/>
      <c r="M1143" s="160"/>
    </row>
    <row r="1144" spans="2:13">
      <c r="B1144" s="400"/>
      <c r="C1144" s="160"/>
      <c r="D1144" s="160"/>
      <c r="E1144" s="160"/>
      <c r="F1144" s="160"/>
      <c r="G1144" s="160"/>
      <c r="H1144" s="160"/>
      <c r="I1144" s="160"/>
      <c r="J1144" s="160"/>
      <c r="K1144" s="160"/>
      <c r="L1144" s="160"/>
      <c r="M1144" s="160"/>
    </row>
    <row r="1145" spans="2:13">
      <c r="B1145" s="400"/>
      <c r="C1145" s="160"/>
      <c r="D1145" s="160"/>
      <c r="E1145" s="160"/>
      <c r="F1145" s="160"/>
      <c r="G1145" s="160"/>
      <c r="H1145" s="160"/>
      <c r="I1145" s="160"/>
      <c r="J1145" s="160"/>
      <c r="K1145" s="160"/>
      <c r="L1145" s="160"/>
      <c r="M1145" s="160"/>
    </row>
    <row r="1146" spans="2:13">
      <c r="B1146" s="400"/>
      <c r="C1146" s="160"/>
      <c r="D1146" s="160"/>
      <c r="E1146" s="160"/>
      <c r="F1146" s="160"/>
      <c r="G1146" s="160"/>
      <c r="H1146" s="160"/>
      <c r="I1146" s="160"/>
      <c r="J1146" s="160"/>
      <c r="K1146" s="160"/>
      <c r="L1146" s="160"/>
      <c r="M1146" s="160"/>
    </row>
    <row r="1147" spans="2:13">
      <c r="B1147" s="400"/>
      <c r="C1147" s="160"/>
      <c r="D1147" s="160"/>
      <c r="E1147" s="160"/>
      <c r="F1147" s="160"/>
      <c r="G1147" s="160"/>
      <c r="H1147" s="160"/>
      <c r="I1147" s="160"/>
      <c r="J1147" s="160"/>
      <c r="K1147" s="160"/>
      <c r="L1147" s="160"/>
      <c r="M1147" s="160"/>
    </row>
    <row r="1148" spans="2:13">
      <c r="B1148" s="400"/>
      <c r="C1148" s="160"/>
      <c r="D1148" s="160"/>
      <c r="E1148" s="160"/>
      <c r="F1148" s="160"/>
      <c r="G1148" s="160"/>
      <c r="H1148" s="160"/>
      <c r="I1148" s="160"/>
      <c r="J1148" s="160"/>
      <c r="K1148" s="160"/>
      <c r="L1148" s="160"/>
      <c r="M1148" s="160"/>
    </row>
    <row r="1149" spans="2:13">
      <c r="B1149" s="400"/>
      <c r="C1149" s="160"/>
      <c r="D1149" s="160"/>
      <c r="E1149" s="160"/>
      <c r="F1149" s="160"/>
      <c r="G1149" s="160"/>
      <c r="H1149" s="160"/>
      <c r="I1149" s="160"/>
      <c r="J1149" s="160"/>
      <c r="K1149" s="160"/>
      <c r="L1149" s="160"/>
      <c r="M1149" s="160"/>
    </row>
    <row r="1150" spans="2:13">
      <c r="B1150" s="400"/>
      <c r="C1150" s="160"/>
      <c r="D1150" s="160"/>
      <c r="E1150" s="160"/>
      <c r="F1150" s="160"/>
      <c r="G1150" s="160"/>
      <c r="H1150" s="160"/>
      <c r="I1150" s="160"/>
      <c r="J1150" s="160"/>
      <c r="K1150" s="160"/>
      <c r="L1150" s="160"/>
      <c r="M1150" s="160"/>
    </row>
    <row r="1151" spans="2:13">
      <c r="B1151" s="400"/>
      <c r="C1151" s="160"/>
      <c r="D1151" s="160"/>
      <c r="E1151" s="160"/>
      <c r="F1151" s="160"/>
      <c r="G1151" s="160"/>
      <c r="H1151" s="160"/>
      <c r="I1151" s="160"/>
      <c r="J1151" s="160"/>
      <c r="K1151" s="160"/>
      <c r="L1151" s="160"/>
      <c r="M1151" s="160"/>
    </row>
    <row r="1152" spans="2:13">
      <c r="B1152" s="400"/>
      <c r="C1152" s="160"/>
      <c r="D1152" s="160"/>
      <c r="E1152" s="160"/>
      <c r="F1152" s="160"/>
      <c r="G1152" s="160"/>
      <c r="H1152" s="160"/>
      <c r="I1152" s="160"/>
      <c r="J1152" s="160"/>
      <c r="K1152" s="160"/>
      <c r="L1152" s="160"/>
      <c r="M1152" s="160"/>
    </row>
    <row r="1153" spans="2:13">
      <c r="B1153" s="400"/>
      <c r="C1153" s="160"/>
      <c r="D1153" s="160"/>
      <c r="E1153" s="160"/>
      <c r="F1153" s="160"/>
      <c r="G1153" s="160"/>
      <c r="H1153" s="160"/>
      <c r="I1153" s="160"/>
      <c r="J1153" s="160"/>
      <c r="K1153" s="160"/>
      <c r="L1153" s="160"/>
      <c r="M1153" s="160"/>
    </row>
    <row r="1154" spans="2:13">
      <c r="B1154" s="400"/>
      <c r="C1154" s="160"/>
      <c r="D1154" s="160"/>
      <c r="E1154" s="160"/>
      <c r="F1154" s="160"/>
      <c r="G1154" s="160"/>
      <c r="H1154" s="160"/>
      <c r="I1154" s="160"/>
      <c r="J1154" s="160"/>
      <c r="K1154" s="160"/>
      <c r="L1154" s="160"/>
      <c r="M1154" s="160"/>
    </row>
    <row r="1155" spans="2:13">
      <c r="B1155" s="400"/>
      <c r="C1155" s="160"/>
      <c r="D1155" s="160"/>
      <c r="E1155" s="160"/>
      <c r="F1155" s="160"/>
      <c r="G1155" s="160"/>
      <c r="H1155" s="160"/>
      <c r="I1155" s="160"/>
      <c r="J1155" s="160"/>
      <c r="K1155" s="160"/>
      <c r="L1155" s="160"/>
      <c r="M1155" s="160"/>
    </row>
    <row r="1156" spans="2:13">
      <c r="B1156" s="400"/>
      <c r="C1156" s="160"/>
      <c r="D1156" s="160"/>
      <c r="E1156" s="160"/>
      <c r="F1156" s="160"/>
      <c r="G1156" s="160"/>
      <c r="H1156" s="160"/>
      <c r="I1156" s="160"/>
      <c r="J1156" s="160"/>
      <c r="K1156" s="160"/>
      <c r="L1156" s="160"/>
      <c r="M1156" s="160"/>
    </row>
    <row r="1157" spans="2:13">
      <c r="B1157" s="400"/>
      <c r="C1157" s="160"/>
      <c r="D1157" s="160"/>
      <c r="E1157" s="160"/>
      <c r="F1157" s="160"/>
      <c r="G1157" s="160"/>
      <c r="H1157" s="160"/>
      <c r="I1157" s="160"/>
      <c r="J1157" s="160"/>
      <c r="K1157" s="160"/>
      <c r="L1157" s="160"/>
      <c r="M1157" s="160"/>
    </row>
    <row r="1158" spans="2:13">
      <c r="B1158" s="400"/>
      <c r="C1158" s="160"/>
      <c r="D1158" s="160"/>
      <c r="E1158" s="160"/>
      <c r="F1158" s="160"/>
      <c r="G1158" s="160"/>
      <c r="H1158" s="160"/>
      <c r="I1158" s="160"/>
      <c r="J1158" s="160"/>
      <c r="K1158" s="160"/>
      <c r="L1158" s="160"/>
      <c r="M1158" s="160"/>
    </row>
    <row r="1159" spans="2:13">
      <c r="B1159" s="400"/>
      <c r="C1159" s="160"/>
      <c r="D1159" s="160"/>
      <c r="E1159" s="160"/>
      <c r="F1159" s="160"/>
      <c r="G1159" s="160"/>
      <c r="H1159" s="160"/>
      <c r="I1159" s="160"/>
      <c r="J1159" s="160"/>
      <c r="K1159" s="160"/>
      <c r="L1159" s="160"/>
      <c r="M1159" s="160"/>
    </row>
    <row r="1160" spans="2:13">
      <c r="B1160" s="400"/>
      <c r="C1160" s="160"/>
      <c r="D1160" s="160"/>
      <c r="E1160" s="160"/>
      <c r="F1160" s="160"/>
      <c r="G1160" s="160"/>
      <c r="H1160" s="160"/>
      <c r="I1160" s="160"/>
      <c r="J1160" s="160"/>
      <c r="K1160" s="160"/>
      <c r="L1160" s="160"/>
      <c r="M1160" s="160"/>
    </row>
    <row r="1161" spans="2:13">
      <c r="B1161" s="400"/>
      <c r="C1161" s="160"/>
      <c r="D1161" s="160"/>
      <c r="E1161" s="160"/>
      <c r="F1161" s="160"/>
      <c r="G1161" s="160"/>
      <c r="H1161" s="160"/>
      <c r="I1161" s="160"/>
      <c r="J1161" s="160"/>
      <c r="K1161" s="160"/>
      <c r="L1161" s="160"/>
      <c r="M1161" s="160"/>
    </row>
    <row r="1162" spans="2:13">
      <c r="B1162" s="400"/>
      <c r="C1162" s="160"/>
      <c r="D1162" s="160"/>
      <c r="E1162" s="160"/>
      <c r="F1162" s="160"/>
      <c r="G1162" s="160"/>
      <c r="H1162" s="160"/>
      <c r="I1162" s="160"/>
      <c r="J1162" s="160"/>
      <c r="K1162" s="160"/>
      <c r="L1162" s="160"/>
      <c r="M1162" s="160"/>
    </row>
    <row r="1163" spans="2:13">
      <c r="B1163" s="400"/>
      <c r="C1163" s="160"/>
      <c r="D1163" s="160"/>
      <c r="E1163" s="160"/>
      <c r="F1163" s="160"/>
      <c r="G1163" s="160"/>
      <c r="H1163" s="160"/>
      <c r="I1163" s="160"/>
      <c r="J1163" s="160"/>
      <c r="K1163" s="160"/>
      <c r="L1163" s="160"/>
      <c r="M1163" s="160"/>
    </row>
    <row r="1164" spans="2:13">
      <c r="B1164" s="400"/>
      <c r="C1164" s="160"/>
      <c r="D1164" s="160"/>
      <c r="E1164" s="160"/>
      <c r="F1164" s="160"/>
      <c r="G1164" s="160"/>
      <c r="H1164" s="160"/>
      <c r="I1164" s="160"/>
      <c r="J1164" s="160"/>
      <c r="K1164" s="160"/>
      <c r="L1164" s="160"/>
      <c r="M1164" s="160"/>
    </row>
    <row r="1165" spans="2:13">
      <c r="B1165" s="400"/>
      <c r="C1165" s="160"/>
      <c r="D1165" s="160"/>
      <c r="E1165" s="160"/>
      <c r="F1165" s="160"/>
      <c r="G1165" s="160"/>
      <c r="H1165" s="160"/>
      <c r="I1165" s="160"/>
      <c r="J1165" s="160"/>
      <c r="K1165" s="160"/>
      <c r="L1165" s="160"/>
      <c r="M1165" s="160"/>
    </row>
    <row r="1166" spans="2:13">
      <c r="B1166" s="400"/>
      <c r="C1166" s="160"/>
      <c r="D1166" s="160"/>
      <c r="E1166" s="160"/>
      <c r="F1166" s="160"/>
      <c r="G1166" s="160"/>
      <c r="H1166" s="160"/>
      <c r="I1166" s="160"/>
      <c r="J1166" s="160"/>
      <c r="K1166" s="160"/>
      <c r="L1166" s="160"/>
      <c r="M1166" s="160"/>
    </row>
    <row r="1167" spans="2:13">
      <c r="B1167" s="400"/>
      <c r="C1167" s="160"/>
      <c r="D1167" s="160"/>
      <c r="E1167" s="160"/>
      <c r="F1167" s="160"/>
      <c r="G1167" s="160"/>
      <c r="H1167" s="160"/>
      <c r="I1167" s="160"/>
      <c r="J1167" s="160"/>
      <c r="K1167" s="160"/>
      <c r="L1167" s="160"/>
      <c r="M1167" s="160"/>
    </row>
    <row r="1168" spans="2:13">
      <c r="B1168" s="400"/>
      <c r="C1168" s="160"/>
      <c r="D1168" s="160"/>
      <c r="E1168" s="160"/>
      <c r="F1168" s="160"/>
      <c r="G1168" s="160"/>
      <c r="H1168" s="160"/>
      <c r="I1168" s="160"/>
      <c r="J1168" s="160"/>
      <c r="K1168" s="160"/>
      <c r="L1168" s="160"/>
      <c r="M1168" s="160"/>
    </row>
    <row r="1169" spans="2:13">
      <c r="B1169" s="400"/>
      <c r="C1169" s="160"/>
      <c r="D1169" s="160"/>
      <c r="E1169" s="160"/>
      <c r="F1169" s="160"/>
      <c r="G1169" s="160"/>
      <c r="H1169" s="160"/>
      <c r="I1169" s="160"/>
      <c r="J1169" s="160"/>
      <c r="K1169" s="160"/>
      <c r="L1169" s="160"/>
      <c r="M1169" s="160"/>
    </row>
    <row r="1170" spans="2:13">
      <c r="B1170" s="400"/>
      <c r="C1170" s="160"/>
      <c r="D1170" s="160"/>
      <c r="E1170" s="160"/>
      <c r="F1170" s="160"/>
      <c r="G1170" s="160"/>
      <c r="H1170" s="160"/>
      <c r="I1170" s="160"/>
      <c r="J1170" s="160"/>
      <c r="K1170" s="160"/>
      <c r="L1170" s="160"/>
      <c r="M1170" s="160"/>
    </row>
    <row r="1171" spans="2:13">
      <c r="B1171" s="400"/>
      <c r="C1171" s="160"/>
      <c r="D1171" s="160"/>
      <c r="E1171" s="160"/>
      <c r="F1171" s="160"/>
      <c r="G1171" s="160"/>
      <c r="H1171" s="160"/>
      <c r="I1171" s="160"/>
      <c r="J1171" s="160"/>
      <c r="K1171" s="160"/>
      <c r="L1171" s="160"/>
      <c r="M1171" s="160"/>
    </row>
    <row r="1172" spans="2:13">
      <c r="B1172" s="400"/>
      <c r="C1172" s="160"/>
      <c r="D1172" s="160"/>
      <c r="E1172" s="160"/>
      <c r="F1172" s="160"/>
      <c r="G1172" s="160"/>
      <c r="H1172" s="160"/>
      <c r="I1172" s="160"/>
      <c r="J1172" s="160"/>
      <c r="K1172" s="160"/>
      <c r="L1172" s="160"/>
      <c r="M1172" s="160"/>
    </row>
    <row r="1173" spans="2:13">
      <c r="B1173" s="400"/>
      <c r="C1173" s="160"/>
      <c r="D1173" s="160"/>
      <c r="E1173" s="160"/>
      <c r="F1173" s="160"/>
      <c r="G1173" s="160"/>
      <c r="H1173" s="160"/>
      <c r="I1173" s="160"/>
      <c r="J1173" s="160"/>
      <c r="K1173" s="160"/>
      <c r="L1173" s="160"/>
      <c r="M1173" s="160"/>
    </row>
    <row r="1174" spans="2:13">
      <c r="B1174" s="400"/>
      <c r="C1174" s="160"/>
      <c r="D1174" s="160"/>
      <c r="E1174" s="160"/>
      <c r="F1174" s="160"/>
      <c r="G1174" s="160"/>
      <c r="H1174" s="160"/>
      <c r="I1174" s="160"/>
      <c r="J1174" s="160"/>
      <c r="K1174" s="160"/>
      <c r="L1174" s="160"/>
      <c r="M1174" s="160"/>
    </row>
    <row r="1175" spans="2:13">
      <c r="B1175" s="400"/>
      <c r="C1175" s="160"/>
      <c r="D1175" s="160"/>
      <c r="E1175" s="160"/>
      <c r="F1175" s="160"/>
      <c r="G1175" s="160"/>
      <c r="H1175" s="160"/>
      <c r="I1175" s="160"/>
      <c r="J1175" s="160"/>
      <c r="K1175" s="160"/>
      <c r="L1175" s="160"/>
      <c r="M1175" s="160"/>
    </row>
    <row r="1176" spans="2:13">
      <c r="B1176" s="400"/>
      <c r="C1176" s="160"/>
      <c r="D1176" s="160"/>
      <c r="E1176" s="160"/>
      <c r="F1176" s="160"/>
      <c r="G1176" s="160"/>
      <c r="H1176" s="160"/>
      <c r="I1176" s="160"/>
      <c r="J1176" s="160"/>
      <c r="K1176" s="160"/>
      <c r="L1176" s="160"/>
      <c r="M1176" s="160"/>
    </row>
    <row r="1177" spans="2:13">
      <c r="B1177" s="400"/>
      <c r="C1177" s="160"/>
      <c r="D1177" s="160"/>
      <c r="E1177" s="160"/>
      <c r="F1177" s="160"/>
      <c r="G1177" s="160"/>
      <c r="H1177" s="160"/>
      <c r="I1177" s="160"/>
      <c r="J1177" s="160"/>
      <c r="K1177" s="160"/>
      <c r="L1177" s="160"/>
      <c r="M1177" s="160"/>
    </row>
    <row r="1178" spans="2:13">
      <c r="B1178" s="400"/>
      <c r="C1178" s="160"/>
      <c r="D1178" s="160"/>
      <c r="E1178" s="160"/>
      <c r="F1178" s="160"/>
      <c r="G1178" s="160"/>
      <c r="H1178" s="160"/>
      <c r="I1178" s="160"/>
      <c r="J1178" s="160"/>
      <c r="K1178" s="160"/>
      <c r="L1178" s="160"/>
      <c r="M1178" s="160"/>
    </row>
    <row r="1179" spans="2:13">
      <c r="B1179" s="400"/>
      <c r="C1179" s="160"/>
      <c r="D1179" s="160"/>
      <c r="E1179" s="160"/>
      <c r="F1179" s="160"/>
      <c r="G1179" s="160"/>
      <c r="H1179" s="160"/>
      <c r="I1179" s="160"/>
      <c r="J1179" s="160"/>
      <c r="K1179" s="160"/>
      <c r="L1179" s="160"/>
      <c r="M1179" s="160"/>
    </row>
    <row r="1180" spans="2:13">
      <c r="B1180" s="400"/>
      <c r="C1180" s="160"/>
      <c r="D1180" s="160"/>
      <c r="E1180" s="160"/>
      <c r="F1180" s="160"/>
      <c r="G1180" s="160"/>
      <c r="H1180" s="160"/>
      <c r="I1180" s="160"/>
      <c r="J1180" s="160"/>
      <c r="K1180" s="160"/>
      <c r="L1180" s="160"/>
      <c r="M1180" s="160"/>
    </row>
    <row r="1181" spans="2:13">
      <c r="B1181" s="400"/>
      <c r="C1181" s="160"/>
      <c r="D1181" s="160"/>
      <c r="E1181" s="160"/>
      <c r="F1181" s="160"/>
      <c r="G1181" s="160"/>
      <c r="H1181" s="160"/>
      <c r="I1181" s="160"/>
      <c r="J1181" s="160"/>
      <c r="K1181" s="160"/>
      <c r="L1181" s="160"/>
      <c r="M1181" s="160"/>
    </row>
    <row r="1182" spans="2:13">
      <c r="B1182" s="400"/>
      <c r="C1182" s="160"/>
      <c r="D1182" s="160"/>
      <c r="E1182" s="160"/>
      <c r="F1182" s="160"/>
      <c r="G1182" s="160"/>
      <c r="H1182" s="160"/>
      <c r="I1182" s="160"/>
      <c r="J1182" s="160"/>
      <c r="K1182" s="160"/>
      <c r="L1182" s="160"/>
      <c r="M1182" s="160"/>
    </row>
    <row r="1183" spans="2:13">
      <c r="B1183" s="400"/>
      <c r="C1183" s="160"/>
      <c r="D1183" s="160"/>
      <c r="E1183" s="160"/>
      <c r="F1183" s="160"/>
      <c r="G1183" s="160"/>
      <c r="H1183" s="160"/>
      <c r="I1183" s="160"/>
      <c r="J1183" s="160"/>
      <c r="K1183" s="160"/>
      <c r="L1183" s="160"/>
      <c r="M1183" s="160"/>
    </row>
    <row r="1184" spans="2:13">
      <c r="B1184" s="400"/>
      <c r="C1184" s="160"/>
      <c r="D1184" s="160"/>
      <c r="E1184" s="160"/>
      <c r="F1184" s="160"/>
      <c r="G1184" s="160"/>
      <c r="H1184" s="160"/>
      <c r="I1184" s="160"/>
      <c r="J1184" s="160"/>
      <c r="K1184" s="160"/>
      <c r="L1184" s="160"/>
      <c r="M1184" s="160"/>
    </row>
    <row r="1185" spans="2:13">
      <c r="B1185" s="400"/>
      <c r="C1185" s="160"/>
      <c r="D1185" s="160"/>
      <c r="E1185" s="160"/>
      <c r="F1185" s="160"/>
      <c r="G1185" s="160"/>
      <c r="H1185" s="160"/>
      <c r="I1185" s="160"/>
      <c r="J1185" s="160"/>
      <c r="K1185" s="160"/>
      <c r="L1185" s="160"/>
      <c r="M1185" s="160"/>
    </row>
    <row r="1186" spans="2:13">
      <c r="B1186" s="400"/>
      <c r="C1186" s="160"/>
      <c r="D1186" s="160"/>
      <c r="E1186" s="160"/>
      <c r="F1186" s="160"/>
      <c r="G1186" s="160"/>
      <c r="H1186" s="160"/>
      <c r="I1186" s="160"/>
      <c r="J1186" s="160"/>
      <c r="K1186" s="160"/>
      <c r="L1186" s="160"/>
      <c r="M1186" s="160"/>
    </row>
    <row r="1187" spans="2:13">
      <c r="B1187" s="400"/>
      <c r="C1187" s="160"/>
      <c r="D1187" s="160"/>
      <c r="E1187" s="160"/>
      <c r="F1187" s="160"/>
      <c r="G1187" s="160"/>
      <c r="H1187" s="160"/>
      <c r="I1187" s="160"/>
      <c r="J1187" s="160"/>
      <c r="K1187" s="160"/>
      <c r="L1187" s="160"/>
      <c r="M1187" s="160"/>
    </row>
    <row r="1188" spans="2:13">
      <c r="B1188" s="400"/>
      <c r="C1188" s="160"/>
      <c r="D1188" s="160"/>
      <c r="E1188" s="160"/>
      <c r="F1188" s="160"/>
      <c r="G1188" s="160"/>
      <c r="H1188" s="160"/>
      <c r="I1188" s="160"/>
      <c r="J1188" s="160"/>
      <c r="K1188" s="160"/>
      <c r="L1188" s="160"/>
      <c r="M1188" s="160"/>
    </row>
    <row r="1189" spans="2:13">
      <c r="B1189" s="400"/>
      <c r="C1189" s="160"/>
      <c r="D1189" s="160"/>
      <c r="E1189" s="160"/>
      <c r="F1189" s="160"/>
      <c r="G1189" s="160"/>
      <c r="H1189" s="160"/>
      <c r="I1189" s="160"/>
      <c r="J1189" s="160"/>
      <c r="K1189" s="160"/>
      <c r="L1189" s="160"/>
      <c r="M1189" s="160"/>
    </row>
    <row r="1190" spans="2:13">
      <c r="B1190" s="400"/>
      <c r="C1190" s="160"/>
      <c r="D1190" s="160"/>
      <c r="E1190" s="160"/>
      <c r="F1190" s="160"/>
      <c r="G1190" s="160"/>
      <c r="H1190" s="160"/>
      <c r="I1190" s="160"/>
      <c r="J1190" s="160"/>
      <c r="K1190" s="160"/>
      <c r="L1190" s="160"/>
      <c r="M1190" s="160"/>
    </row>
    <row r="1191" spans="2:13">
      <c r="B1191" s="400"/>
      <c r="C1191" s="160"/>
      <c r="D1191" s="160"/>
      <c r="E1191" s="160"/>
      <c r="F1191" s="160"/>
      <c r="G1191" s="160"/>
      <c r="H1191" s="160"/>
      <c r="I1191" s="160"/>
      <c r="J1191" s="160"/>
      <c r="K1191" s="160"/>
      <c r="L1191" s="160"/>
      <c r="M1191" s="160"/>
    </row>
    <row r="1192" spans="2:13">
      <c r="B1192" s="400"/>
      <c r="C1192" s="160"/>
      <c r="D1192" s="160"/>
      <c r="E1192" s="160"/>
      <c r="F1192" s="160"/>
      <c r="G1192" s="160"/>
      <c r="H1192" s="160"/>
      <c r="I1192" s="160"/>
      <c r="J1192" s="160"/>
      <c r="K1192" s="160"/>
      <c r="L1192" s="160"/>
      <c r="M1192" s="160"/>
    </row>
    <row r="1193" spans="2:13">
      <c r="B1193" s="400"/>
      <c r="C1193" s="160"/>
      <c r="D1193" s="160"/>
      <c r="E1193" s="160"/>
      <c r="F1193" s="160"/>
      <c r="G1193" s="160"/>
      <c r="H1193" s="160"/>
      <c r="I1193" s="160"/>
      <c r="J1193" s="160"/>
      <c r="K1193" s="160"/>
      <c r="L1193" s="160"/>
      <c r="M1193" s="160"/>
    </row>
    <row r="1194" spans="2:13">
      <c r="B1194" s="400"/>
      <c r="C1194" s="160"/>
      <c r="D1194" s="160"/>
      <c r="E1194" s="160"/>
      <c r="F1194" s="160"/>
      <c r="G1194" s="160"/>
      <c r="H1194" s="160"/>
      <c r="I1194" s="160"/>
      <c r="J1194" s="160"/>
      <c r="K1194" s="160"/>
      <c r="L1194" s="160"/>
      <c r="M1194" s="160"/>
    </row>
    <row r="1195" spans="2:13">
      <c r="B1195" s="400"/>
      <c r="C1195" s="160"/>
      <c r="D1195" s="160"/>
      <c r="E1195" s="160"/>
      <c r="F1195" s="160"/>
      <c r="G1195" s="160"/>
      <c r="H1195" s="160"/>
      <c r="I1195" s="160"/>
      <c r="J1195" s="160"/>
      <c r="K1195" s="160"/>
      <c r="L1195" s="160"/>
      <c r="M1195" s="160"/>
    </row>
    <row r="1196" spans="2:13">
      <c r="B1196" s="400"/>
      <c r="C1196" s="160"/>
      <c r="D1196" s="160"/>
      <c r="E1196" s="160"/>
      <c r="F1196" s="160"/>
      <c r="G1196" s="160"/>
      <c r="H1196" s="160"/>
      <c r="I1196" s="160"/>
      <c r="J1196" s="160"/>
      <c r="K1196" s="160"/>
      <c r="L1196" s="160"/>
      <c r="M1196" s="160"/>
    </row>
    <row r="1197" spans="2:13">
      <c r="B1197" s="400"/>
      <c r="C1197" s="160"/>
      <c r="D1197" s="160"/>
      <c r="E1197" s="160"/>
      <c r="F1197" s="160"/>
      <c r="G1197" s="160"/>
      <c r="H1197" s="160"/>
      <c r="I1197" s="160"/>
      <c r="J1197" s="160"/>
      <c r="K1197" s="160"/>
      <c r="L1197" s="160"/>
      <c r="M1197" s="160"/>
    </row>
    <row r="1198" spans="2:13">
      <c r="B1198" s="400"/>
      <c r="C1198" s="160"/>
      <c r="D1198" s="160"/>
      <c r="E1198" s="160"/>
      <c r="F1198" s="160"/>
      <c r="G1198" s="160"/>
      <c r="H1198" s="160"/>
      <c r="I1198" s="160"/>
      <c r="J1198" s="160"/>
      <c r="K1198" s="160"/>
      <c r="L1198" s="160"/>
      <c r="M1198" s="160"/>
    </row>
    <row r="1199" spans="2:13">
      <c r="B1199" s="400"/>
      <c r="C1199" s="160"/>
      <c r="D1199" s="160"/>
      <c r="E1199" s="160"/>
      <c r="F1199" s="160"/>
      <c r="G1199" s="160"/>
      <c r="H1199" s="160"/>
      <c r="I1199" s="160"/>
      <c r="J1199" s="160"/>
      <c r="K1199" s="160"/>
      <c r="L1199" s="160"/>
      <c r="M1199" s="160"/>
    </row>
    <row r="1200" spans="2:13">
      <c r="B1200" s="400"/>
      <c r="C1200" s="160"/>
      <c r="D1200" s="160"/>
      <c r="E1200" s="160"/>
      <c r="F1200" s="160"/>
      <c r="G1200" s="160"/>
      <c r="H1200" s="160"/>
      <c r="I1200" s="160"/>
      <c r="J1200" s="160"/>
      <c r="K1200" s="160"/>
      <c r="L1200" s="160"/>
      <c r="M1200" s="160"/>
    </row>
    <row r="1201" spans="2:13">
      <c r="B1201" s="400"/>
      <c r="C1201" s="160"/>
      <c r="D1201" s="160"/>
      <c r="E1201" s="160"/>
      <c r="F1201" s="160"/>
      <c r="G1201" s="160"/>
      <c r="H1201" s="160"/>
      <c r="I1201" s="160"/>
      <c r="J1201" s="160"/>
      <c r="K1201" s="160"/>
      <c r="L1201" s="160"/>
      <c r="M1201" s="160"/>
    </row>
    <row r="1202" spans="2:13">
      <c r="B1202" s="400"/>
      <c r="C1202" s="160"/>
      <c r="D1202" s="160"/>
      <c r="E1202" s="160"/>
      <c r="F1202" s="160"/>
      <c r="G1202" s="160"/>
      <c r="H1202" s="160"/>
      <c r="I1202" s="160"/>
      <c r="J1202" s="160"/>
      <c r="K1202" s="160"/>
      <c r="L1202" s="160"/>
      <c r="M1202" s="160"/>
    </row>
    <row r="1203" spans="2:13">
      <c r="B1203" s="400"/>
      <c r="C1203" s="160"/>
      <c r="D1203" s="160"/>
      <c r="E1203" s="160"/>
      <c r="F1203" s="160"/>
      <c r="G1203" s="160"/>
      <c r="H1203" s="160"/>
      <c r="I1203" s="160"/>
      <c r="J1203" s="160"/>
      <c r="K1203" s="160"/>
      <c r="L1203" s="160"/>
      <c r="M1203" s="160"/>
    </row>
    <row r="1204" spans="2:13">
      <c r="B1204" s="400"/>
      <c r="C1204" s="160"/>
      <c r="D1204" s="160"/>
      <c r="E1204" s="160"/>
      <c r="F1204" s="160"/>
      <c r="G1204" s="160"/>
      <c r="H1204" s="160"/>
      <c r="I1204" s="160"/>
      <c r="J1204" s="160"/>
      <c r="K1204" s="160"/>
      <c r="L1204" s="160"/>
      <c r="M1204" s="160"/>
    </row>
    <row r="1205" spans="2:13">
      <c r="B1205" s="400"/>
      <c r="C1205" s="160"/>
      <c r="D1205" s="160"/>
      <c r="E1205" s="160"/>
      <c r="F1205" s="160"/>
      <c r="G1205" s="160"/>
      <c r="H1205" s="160"/>
      <c r="I1205" s="160"/>
      <c r="J1205" s="160"/>
      <c r="K1205" s="160"/>
      <c r="L1205" s="160"/>
      <c r="M1205" s="160"/>
    </row>
    <row r="1206" spans="2:13">
      <c r="B1206" s="400"/>
      <c r="C1206" s="160"/>
      <c r="D1206" s="160"/>
      <c r="E1206" s="160"/>
      <c r="F1206" s="160"/>
      <c r="G1206" s="160"/>
      <c r="H1206" s="160"/>
      <c r="I1206" s="160"/>
      <c r="J1206" s="160"/>
      <c r="K1206" s="160"/>
      <c r="L1206" s="160"/>
      <c r="M1206" s="160"/>
    </row>
    <row r="1207" spans="2:13">
      <c r="B1207" s="400"/>
      <c r="C1207" s="160"/>
      <c r="D1207" s="160"/>
      <c r="E1207" s="160"/>
      <c r="F1207" s="160"/>
      <c r="G1207" s="160"/>
      <c r="H1207" s="160"/>
      <c r="I1207" s="160"/>
      <c r="J1207" s="160"/>
      <c r="K1207" s="160"/>
      <c r="L1207" s="160"/>
      <c r="M1207" s="160"/>
    </row>
    <row r="1208" spans="2:13">
      <c r="B1208" s="400"/>
      <c r="C1208" s="160"/>
      <c r="D1208" s="160"/>
      <c r="E1208" s="160"/>
      <c r="F1208" s="160"/>
      <c r="G1208" s="160"/>
      <c r="H1208" s="160"/>
      <c r="I1208" s="160"/>
      <c r="J1208" s="160"/>
      <c r="K1208" s="160"/>
      <c r="L1208" s="160"/>
      <c r="M1208" s="160"/>
    </row>
    <row r="1209" spans="2:13">
      <c r="B1209" s="400"/>
      <c r="C1209" s="160"/>
      <c r="D1209" s="160"/>
      <c r="E1209" s="160"/>
      <c r="F1209" s="160"/>
      <c r="G1209" s="160"/>
      <c r="H1209" s="160"/>
      <c r="I1209" s="160"/>
      <c r="J1209" s="160"/>
      <c r="K1209" s="160"/>
      <c r="L1209" s="160"/>
      <c r="M1209" s="160"/>
    </row>
    <row r="1210" spans="2:13">
      <c r="B1210" s="400"/>
      <c r="C1210" s="160"/>
      <c r="D1210" s="160"/>
      <c r="E1210" s="160"/>
      <c r="F1210" s="160"/>
      <c r="G1210" s="160"/>
      <c r="H1210" s="160"/>
      <c r="I1210" s="160"/>
      <c r="J1210" s="160"/>
      <c r="K1210" s="160"/>
      <c r="L1210" s="160"/>
      <c r="M1210" s="160"/>
    </row>
    <row r="1211" spans="2:13">
      <c r="B1211" s="400"/>
      <c r="C1211" s="160"/>
      <c r="D1211" s="160"/>
      <c r="E1211" s="160"/>
      <c r="F1211" s="160"/>
      <c r="G1211" s="160"/>
      <c r="H1211" s="160"/>
      <c r="I1211" s="160"/>
      <c r="J1211" s="160"/>
      <c r="K1211" s="160"/>
      <c r="L1211" s="160"/>
      <c r="M1211" s="160"/>
    </row>
    <row r="1212" spans="2:13">
      <c r="B1212" s="400"/>
      <c r="C1212" s="160"/>
      <c r="D1212" s="160"/>
      <c r="E1212" s="160"/>
      <c r="F1212" s="160"/>
      <c r="G1212" s="160"/>
      <c r="H1212" s="160"/>
      <c r="I1212" s="160"/>
      <c r="J1212" s="160"/>
      <c r="K1212" s="160"/>
      <c r="L1212" s="160"/>
      <c r="M1212" s="160"/>
    </row>
    <row r="1213" spans="2:13">
      <c r="B1213" s="400"/>
      <c r="C1213" s="160"/>
      <c r="D1213" s="160"/>
      <c r="E1213" s="160"/>
      <c r="F1213" s="160"/>
      <c r="G1213" s="160"/>
      <c r="H1213" s="160"/>
      <c r="I1213" s="160"/>
      <c r="J1213" s="160"/>
      <c r="K1213" s="160"/>
      <c r="L1213" s="160"/>
      <c r="M1213" s="160"/>
    </row>
    <row r="1214" spans="2:13">
      <c r="B1214" s="400"/>
      <c r="C1214" s="160"/>
      <c r="D1214" s="160"/>
      <c r="E1214" s="160"/>
      <c r="F1214" s="160"/>
      <c r="G1214" s="160"/>
      <c r="H1214" s="160"/>
      <c r="I1214" s="160"/>
      <c r="J1214" s="160"/>
      <c r="K1214" s="160"/>
      <c r="L1214" s="160"/>
      <c r="M1214" s="160"/>
    </row>
    <row r="1215" spans="2:13">
      <c r="B1215" s="400"/>
      <c r="C1215" s="160"/>
      <c r="D1215" s="160"/>
      <c r="E1215" s="160"/>
      <c r="F1215" s="160"/>
      <c r="G1215" s="160"/>
      <c r="H1215" s="160"/>
      <c r="I1215" s="160"/>
      <c r="J1215" s="160"/>
      <c r="K1215" s="160"/>
      <c r="L1215" s="160"/>
      <c r="M1215" s="160"/>
    </row>
    <row r="1216" spans="2:13">
      <c r="B1216" s="400"/>
      <c r="C1216" s="160"/>
      <c r="D1216" s="160"/>
      <c r="E1216" s="160"/>
      <c r="F1216" s="160"/>
      <c r="G1216" s="160"/>
      <c r="H1216" s="160"/>
      <c r="I1216" s="160"/>
      <c r="J1216" s="160"/>
      <c r="K1216" s="160"/>
      <c r="L1216" s="160"/>
      <c r="M1216" s="160"/>
    </row>
    <row r="1217" spans="2:13">
      <c r="B1217" s="400"/>
      <c r="C1217" s="160"/>
      <c r="D1217" s="160"/>
      <c r="E1217" s="160"/>
      <c r="F1217" s="160"/>
      <c r="G1217" s="160"/>
      <c r="H1217" s="160"/>
      <c r="I1217" s="160"/>
      <c r="J1217" s="160"/>
      <c r="K1217" s="160"/>
      <c r="L1217" s="160"/>
      <c r="M1217" s="160"/>
    </row>
    <row r="1218" spans="2:13">
      <c r="B1218" s="400"/>
      <c r="C1218" s="160"/>
      <c r="D1218" s="160"/>
      <c r="E1218" s="160"/>
      <c r="F1218" s="160"/>
      <c r="G1218" s="160"/>
      <c r="H1218" s="160"/>
      <c r="I1218" s="160"/>
      <c r="J1218" s="160"/>
      <c r="K1218" s="160"/>
      <c r="L1218" s="160"/>
      <c r="M1218" s="160"/>
    </row>
    <row r="1219" spans="2:13">
      <c r="B1219" s="400"/>
      <c r="C1219" s="160"/>
      <c r="D1219" s="160"/>
      <c r="E1219" s="160"/>
      <c r="F1219" s="160"/>
      <c r="G1219" s="160"/>
      <c r="H1219" s="160"/>
      <c r="I1219" s="160"/>
      <c r="J1219" s="160"/>
      <c r="K1219" s="160"/>
      <c r="L1219" s="160"/>
      <c r="M1219" s="160"/>
    </row>
    <row r="1220" spans="2:13">
      <c r="B1220" s="400"/>
      <c r="C1220" s="160"/>
      <c r="D1220" s="160"/>
      <c r="E1220" s="160"/>
      <c r="F1220" s="160"/>
      <c r="G1220" s="160"/>
      <c r="H1220" s="160"/>
      <c r="I1220" s="160"/>
      <c r="J1220" s="160"/>
      <c r="K1220" s="160"/>
      <c r="L1220" s="160"/>
      <c r="M1220" s="160"/>
    </row>
    <row r="1221" spans="2:13">
      <c r="B1221" s="400"/>
      <c r="C1221" s="160"/>
      <c r="D1221" s="160"/>
      <c r="E1221" s="160"/>
      <c r="F1221" s="160"/>
      <c r="G1221" s="160"/>
      <c r="H1221" s="160"/>
      <c r="I1221" s="160"/>
      <c r="J1221" s="160"/>
      <c r="K1221" s="160"/>
      <c r="L1221" s="160"/>
      <c r="M1221" s="160"/>
    </row>
    <row r="1222" spans="2:13">
      <c r="B1222" s="400"/>
      <c r="C1222" s="160"/>
      <c r="D1222" s="160"/>
      <c r="E1222" s="160"/>
      <c r="F1222" s="160"/>
      <c r="G1222" s="160"/>
      <c r="H1222" s="160"/>
      <c r="I1222" s="160"/>
      <c r="J1222" s="160"/>
      <c r="K1222" s="160"/>
      <c r="L1222" s="160"/>
      <c r="M1222" s="160"/>
    </row>
    <row r="1223" spans="2:13">
      <c r="B1223" s="400"/>
      <c r="C1223" s="160"/>
      <c r="D1223" s="160"/>
      <c r="E1223" s="160"/>
      <c r="F1223" s="160"/>
      <c r="G1223" s="160"/>
      <c r="H1223" s="160"/>
      <c r="I1223" s="160"/>
      <c r="J1223" s="160"/>
      <c r="K1223" s="160"/>
      <c r="L1223" s="160"/>
      <c r="M1223" s="160"/>
    </row>
    <row r="1224" spans="2:13">
      <c r="B1224" s="400"/>
      <c r="C1224" s="160"/>
      <c r="D1224" s="160"/>
      <c r="E1224" s="160"/>
      <c r="F1224" s="160"/>
      <c r="G1224" s="160"/>
      <c r="H1224" s="160"/>
      <c r="I1224" s="160"/>
      <c r="J1224" s="160"/>
      <c r="K1224" s="160"/>
      <c r="L1224" s="160"/>
      <c r="M1224" s="160"/>
    </row>
    <row r="1225" spans="2:13">
      <c r="B1225" s="400"/>
      <c r="C1225" s="160"/>
      <c r="D1225" s="160"/>
      <c r="E1225" s="160"/>
      <c r="F1225" s="160"/>
      <c r="G1225" s="160"/>
      <c r="H1225" s="160"/>
      <c r="I1225" s="160"/>
      <c r="J1225" s="160"/>
      <c r="K1225" s="160"/>
      <c r="L1225" s="160"/>
      <c r="M1225" s="160"/>
    </row>
    <row r="1226" spans="2:13">
      <c r="B1226" s="400"/>
      <c r="C1226" s="160"/>
      <c r="D1226" s="160"/>
      <c r="E1226" s="160"/>
      <c r="F1226" s="160"/>
      <c r="G1226" s="160"/>
      <c r="H1226" s="160"/>
      <c r="I1226" s="160"/>
      <c r="J1226" s="160"/>
      <c r="K1226" s="160"/>
      <c r="L1226" s="160"/>
      <c r="M1226" s="160"/>
    </row>
    <row r="1227" spans="2:13">
      <c r="B1227" s="400"/>
      <c r="C1227" s="160"/>
      <c r="D1227" s="160"/>
      <c r="E1227" s="160"/>
      <c r="F1227" s="160"/>
      <c r="G1227" s="160"/>
      <c r="H1227" s="160"/>
      <c r="I1227" s="160"/>
      <c r="J1227" s="160"/>
      <c r="K1227" s="160"/>
      <c r="L1227" s="160"/>
      <c r="M1227" s="160"/>
    </row>
    <row r="1228" spans="2:13">
      <c r="I1228" s="160"/>
      <c r="J1228" s="160"/>
    </row>
  </sheetData>
  <mergeCells count="23">
    <mergeCell ref="G249:H249"/>
    <mergeCell ref="G231:H231"/>
    <mergeCell ref="D281:K282"/>
    <mergeCell ref="D350:J350"/>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zoomScaleNormal="100" workbookViewId="0">
      <selection activeCell="M17" sqref="M17"/>
    </sheetView>
  </sheetViews>
  <sheetFormatPr defaultRowHeight="15"/>
  <cols>
    <col min="1" max="1" width="9.42578125" style="518" customWidth="1"/>
    <col min="2" max="2" width="6.7109375" style="518" customWidth="1"/>
    <col min="3" max="7" width="12.7109375" style="518" customWidth="1"/>
    <col min="8" max="8" width="19.28515625" style="518" customWidth="1"/>
    <col min="9" max="9" width="15" style="518" bestFit="1" customWidth="1"/>
    <col min="10" max="11" width="16.5703125" style="518" bestFit="1" customWidth="1"/>
    <col min="12" max="13" width="22.140625" style="518" bestFit="1" customWidth="1"/>
    <col min="14" max="14" width="8.42578125" style="518" customWidth="1"/>
    <col min="15" max="38" width="12.7109375" style="518" customWidth="1"/>
    <col min="39" max="16384" width="9.140625" style="518"/>
  </cols>
  <sheetData>
    <row r="1" spans="1:22" ht="15.75">
      <c r="A1" s="1006"/>
    </row>
    <row r="2" spans="1:22" ht="15.75">
      <c r="A2" s="1006"/>
    </row>
    <row r="3" spans="1:22">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1474" t="str">
        <f>TCOS!$F$5</f>
        <v>AEPTCo subsidiaries in PJM</v>
      </c>
      <c r="K3" s="1474" t="str">
        <f>TCOS!$F$5</f>
        <v>AEPTCo subsidiaries in PJM</v>
      </c>
      <c r="L3" s="422"/>
      <c r="M3" s="422"/>
      <c r="N3" s="422"/>
      <c r="O3" s="422"/>
    </row>
    <row r="4" spans="1:22">
      <c r="A4" s="1502" t="str">
        <f>"Cost of Service Formula Rate Using Actual/Projected FF1 Balances"</f>
        <v>Cost of Service Formula Rate Using Actual/Projected FF1 Balances</v>
      </c>
      <c r="B4" s="1502"/>
      <c r="C4" s="1502"/>
      <c r="D4" s="1502"/>
      <c r="E4" s="1502"/>
      <c r="F4" s="1502"/>
      <c r="G4" s="1502"/>
      <c r="H4" s="1502"/>
      <c r="I4" s="1502"/>
      <c r="J4" s="1502"/>
      <c r="K4" s="1502"/>
      <c r="L4" s="442"/>
      <c r="M4" s="442"/>
      <c r="N4" s="442"/>
      <c r="O4" s="442"/>
    </row>
    <row r="5" spans="1:22">
      <c r="A5" s="1502" t="s">
        <v>22</v>
      </c>
      <c r="B5" s="1502"/>
      <c r="C5" s="1502"/>
      <c r="D5" s="1502"/>
      <c r="E5" s="1502"/>
      <c r="F5" s="1502"/>
      <c r="G5" s="1502"/>
      <c r="H5" s="1502"/>
      <c r="I5" s="1502"/>
      <c r="J5" s="1502"/>
      <c r="K5" s="1502"/>
      <c r="L5" s="424"/>
      <c r="M5" s="424"/>
      <c r="N5" s="424"/>
      <c r="O5" s="424"/>
    </row>
    <row r="6" spans="1:22">
      <c r="A6" s="1503" t="str">
        <f>TCOS!F9</f>
        <v>West Virginia Transmission Company</v>
      </c>
      <c r="B6" s="1503"/>
      <c r="C6" s="1503"/>
      <c r="D6" s="1503"/>
      <c r="E6" s="1503"/>
      <c r="F6" s="1503"/>
      <c r="G6" s="1503"/>
      <c r="H6" s="1503"/>
      <c r="I6" s="1503"/>
      <c r="J6" s="1503"/>
      <c r="K6" s="1503"/>
      <c r="L6" s="169"/>
      <c r="M6" s="169"/>
      <c r="N6" s="169"/>
      <c r="O6" s="169"/>
    </row>
    <row r="7" spans="1:22">
      <c r="A7" s="519"/>
      <c r="B7" s="519"/>
      <c r="C7" s="519"/>
      <c r="D7" s="519"/>
      <c r="E7" s="519"/>
      <c r="F7" s="519"/>
      <c r="G7" s="519"/>
      <c r="H7" s="519"/>
      <c r="I7" s="519"/>
      <c r="J7" s="519"/>
      <c r="K7" s="519"/>
      <c r="L7" s="519"/>
      <c r="M7" s="519"/>
      <c r="N7" s="519"/>
      <c r="O7" s="519"/>
    </row>
    <row r="8" spans="1:22" ht="18">
      <c r="A8" s="1514"/>
      <c r="B8" s="1514"/>
      <c r="C8" s="1514"/>
      <c r="D8" s="1514"/>
      <c r="E8" s="1514"/>
      <c r="F8" s="1514"/>
      <c r="G8" s="1514"/>
      <c r="H8" s="1514"/>
      <c r="I8" s="1514"/>
      <c r="J8" s="1514"/>
      <c r="K8" s="1514"/>
      <c r="L8" s="521"/>
      <c r="M8" s="522"/>
    </row>
    <row r="9" spans="1:22" ht="18">
      <c r="A9" s="520"/>
      <c r="B9" s="520"/>
      <c r="C9" s="520"/>
      <c r="D9" s="520"/>
      <c r="E9" s="520"/>
      <c r="F9" s="520"/>
      <c r="G9" s="520"/>
      <c r="H9" s="520"/>
      <c r="I9" s="520"/>
      <c r="J9" s="520"/>
      <c r="K9" s="520"/>
      <c r="L9" s="521"/>
      <c r="M9" s="522"/>
    </row>
    <row r="10" spans="1:22" ht="15.75">
      <c r="A10" s="523" t="s">
        <v>459</v>
      </c>
      <c r="B10" s="521"/>
      <c r="C10" s="524"/>
      <c r="D10" s="524"/>
      <c r="E10" s="524"/>
      <c r="F10" s="524"/>
      <c r="G10" s="525"/>
      <c r="H10" s="525"/>
      <c r="I10" s="523" t="s">
        <v>472</v>
      </c>
      <c r="J10" s="523" t="s">
        <v>355</v>
      </c>
      <c r="K10" s="526"/>
      <c r="N10" s="527"/>
      <c r="P10" s="527"/>
      <c r="R10" s="527"/>
      <c r="S10" s="527"/>
      <c r="T10" s="527"/>
      <c r="U10" s="395"/>
      <c r="V10" s="395"/>
    </row>
    <row r="11" spans="1:22" ht="15.75">
      <c r="A11" s="523" t="s">
        <v>397</v>
      </c>
      <c r="B11" s="1515" t="s">
        <v>457</v>
      </c>
      <c r="C11" s="1515"/>
      <c r="D11" s="1515"/>
      <c r="E11" s="1515"/>
      <c r="F11" s="1515"/>
      <c r="G11" s="1515"/>
      <c r="H11" s="1515"/>
      <c r="I11" s="528" t="s">
        <v>473</v>
      </c>
      <c r="J11" s="528" t="s">
        <v>407</v>
      </c>
      <c r="K11" s="528" t="s">
        <v>407</v>
      </c>
      <c r="N11" s="527"/>
      <c r="O11" s="527"/>
      <c r="P11" s="527"/>
      <c r="Q11" s="527"/>
      <c r="R11" s="527"/>
      <c r="S11" s="527"/>
      <c r="T11" s="529"/>
      <c r="U11" s="395"/>
      <c r="V11" s="395"/>
    </row>
    <row r="12" spans="1:22" ht="15.75">
      <c r="A12" s="525"/>
      <c r="B12" s="530"/>
      <c r="C12" s="521"/>
      <c r="D12" s="525"/>
      <c r="E12" s="525"/>
      <c r="F12" s="525"/>
      <c r="G12" s="525"/>
      <c r="H12" s="525"/>
      <c r="I12" s="525"/>
      <c r="J12" s="525"/>
      <c r="K12" s="531"/>
      <c r="N12" s="527"/>
      <c r="O12" s="527"/>
      <c r="P12" s="527"/>
      <c r="Q12" s="527"/>
      <c r="R12" s="527"/>
      <c r="S12" s="527"/>
      <c r="T12" s="529"/>
      <c r="U12" s="395"/>
      <c r="V12" s="395"/>
    </row>
    <row r="13" spans="1:22" s="534" customFormat="1" ht="12.75">
      <c r="A13" s="532">
        <v>1</v>
      </c>
      <c r="B13" s="533" t="s">
        <v>9</v>
      </c>
      <c r="D13" s="535"/>
      <c r="E13" s="535"/>
      <c r="F13" s="536"/>
      <c r="G13" s="535"/>
      <c r="H13" s="535"/>
      <c r="I13" s="558">
        <v>0</v>
      </c>
      <c r="J13" s="537">
        <f>+I13-K13</f>
        <v>0</v>
      </c>
      <c r="K13" s="558">
        <v>0</v>
      </c>
      <c r="N13" s="314"/>
      <c r="O13" s="314"/>
      <c r="P13" s="314"/>
      <c r="Q13" s="314"/>
      <c r="R13" s="314"/>
      <c r="S13" s="314"/>
      <c r="T13" s="538"/>
      <c r="U13" s="314"/>
      <c r="V13" s="314"/>
    </row>
    <row r="14" spans="1:22" s="534" customFormat="1" ht="12.75">
      <c r="A14" s="532"/>
      <c r="B14" s="533"/>
      <c r="D14" s="535"/>
      <c r="E14" s="535"/>
      <c r="F14" s="536"/>
      <c r="G14" s="535"/>
      <c r="H14" s="535"/>
      <c r="I14" s="539"/>
      <c r="J14" s="540"/>
      <c r="K14" s="540"/>
      <c r="N14" s="314"/>
      <c r="O14" s="314"/>
      <c r="P14" s="314"/>
      <c r="Q14" s="314"/>
      <c r="R14" s="314"/>
      <c r="S14" s="314"/>
      <c r="T14" s="538"/>
      <c r="U14" s="314"/>
      <c r="V14" s="314"/>
    </row>
    <row r="15" spans="1:22" s="534" customFormat="1" ht="12.75">
      <c r="A15" s="532">
        <f>+A13+1</f>
        <v>2</v>
      </c>
      <c r="B15" s="541" t="s">
        <v>10</v>
      </c>
      <c r="D15" s="535"/>
      <c r="E15" s="535"/>
      <c r="F15" s="536"/>
      <c r="G15" s="535"/>
      <c r="H15" s="536"/>
      <c r="I15" s="558">
        <v>0</v>
      </c>
      <c r="J15" s="537">
        <f>+I15-K15</f>
        <v>0</v>
      </c>
      <c r="K15" s="558">
        <v>0</v>
      </c>
      <c r="N15" s="314"/>
      <c r="O15" s="314"/>
      <c r="P15" s="314"/>
      <c r="Q15" s="314"/>
      <c r="R15" s="314"/>
      <c r="S15" s="314"/>
      <c r="T15" s="314"/>
      <c r="U15" s="314"/>
      <c r="V15" s="314"/>
    </row>
    <row r="16" spans="1:22" s="534" customFormat="1" ht="12.75">
      <c r="A16" s="532"/>
      <c r="B16" s="541"/>
      <c r="D16" s="535"/>
      <c r="E16" s="535"/>
      <c r="F16" s="536"/>
      <c r="G16" s="535"/>
      <c r="H16" s="536"/>
      <c r="I16" s="540"/>
      <c r="J16" s="540"/>
      <c r="K16" s="542"/>
      <c r="N16" s="314"/>
      <c r="O16" s="314"/>
      <c r="P16" s="314"/>
      <c r="Q16" s="314"/>
      <c r="R16" s="314"/>
      <c r="S16" s="314"/>
      <c r="T16" s="314"/>
      <c r="U16" s="314"/>
      <c r="V16" s="314"/>
    </row>
    <row r="17" spans="1:22" s="534" customFormat="1" ht="12.75">
      <c r="A17" s="532">
        <f>+A15+1</f>
        <v>3</v>
      </c>
      <c r="B17" s="541" t="s">
        <v>11</v>
      </c>
      <c r="D17" s="535"/>
      <c r="E17" s="535"/>
      <c r="F17" s="536"/>
      <c r="G17" s="535"/>
      <c r="H17" s="535"/>
      <c r="I17" s="558">
        <v>6188430.7150999997</v>
      </c>
      <c r="J17" s="537">
        <f>+I17-K17</f>
        <v>0</v>
      </c>
      <c r="K17" s="558">
        <f>I17</f>
        <v>6188430.7150999997</v>
      </c>
      <c r="M17" s="1446"/>
      <c r="N17" s="314"/>
      <c r="O17" s="314"/>
      <c r="P17" s="314"/>
      <c r="Q17" s="314"/>
      <c r="R17" s="314"/>
      <c r="S17" s="314"/>
      <c r="T17" s="314"/>
      <c r="U17" s="314"/>
      <c r="V17" s="314"/>
    </row>
    <row r="18" spans="1:22" s="534" customFormat="1" ht="12.75">
      <c r="A18" s="532"/>
      <c r="B18" s="536"/>
      <c r="D18" s="535"/>
      <c r="E18" s="535"/>
      <c r="F18" s="536"/>
      <c r="G18" s="542"/>
      <c r="H18" s="536"/>
      <c r="I18" s="540"/>
      <c r="J18" s="540"/>
      <c r="K18" s="540"/>
      <c r="N18" s="314"/>
      <c r="O18" s="314"/>
      <c r="P18" s="314"/>
      <c r="Q18" s="314"/>
      <c r="R18" s="314"/>
      <c r="S18" s="314"/>
      <c r="T18" s="314"/>
      <c r="U18" s="314"/>
      <c r="V18" s="314"/>
    </row>
    <row r="19" spans="1:22" s="534" customFormat="1" ht="12.75">
      <c r="A19" s="1002">
        <v>4</v>
      </c>
      <c r="B19" s="1254" t="s">
        <v>769</v>
      </c>
      <c r="C19" s="348"/>
      <c r="D19" s="1255"/>
      <c r="E19" s="1255"/>
      <c r="F19" s="1255"/>
      <c r="G19" s="1003"/>
      <c r="H19" s="1255"/>
      <c r="I19" s="558">
        <v>0</v>
      </c>
      <c r="J19" s="537">
        <f>+I19-K19</f>
        <v>0</v>
      </c>
      <c r="K19" s="558">
        <v>0</v>
      </c>
      <c r="N19" s="544"/>
      <c r="O19" s="314"/>
      <c r="P19" s="314"/>
      <c r="Q19" s="314"/>
      <c r="R19" s="314"/>
      <c r="S19" s="314"/>
      <c r="T19" s="314"/>
      <c r="U19" s="314"/>
      <c r="V19" s="314"/>
    </row>
    <row r="20" spans="1:22" s="534" customFormat="1" ht="12.75">
      <c r="A20" s="1002"/>
      <c r="B20" s="1254"/>
      <c r="C20" s="348"/>
      <c r="D20" s="1255"/>
      <c r="E20" s="1255"/>
      <c r="F20" s="1255"/>
      <c r="G20" s="1003"/>
      <c r="H20" s="1255"/>
      <c r="I20" s="314"/>
      <c r="J20" s="314"/>
      <c r="K20" s="314"/>
      <c r="L20" s="314"/>
      <c r="N20" s="544"/>
      <c r="O20" s="314"/>
      <c r="P20" s="314"/>
      <c r="Q20" s="314"/>
      <c r="R20" s="314"/>
      <c r="S20" s="314"/>
      <c r="T20" s="314"/>
      <c r="U20" s="314"/>
      <c r="V20" s="314"/>
    </row>
    <row r="21" spans="1:22" s="534" customFormat="1" ht="12.75">
      <c r="A21" s="1002">
        <v>5</v>
      </c>
      <c r="B21" s="1254" t="s">
        <v>770</v>
      </c>
      <c r="C21" s="348"/>
      <c r="D21" s="1255"/>
      <c r="E21" s="1255"/>
      <c r="F21" s="1255"/>
      <c r="G21" s="1003"/>
      <c r="H21" s="1255"/>
      <c r="I21" s="558">
        <v>347658543.37353396</v>
      </c>
      <c r="J21" s="537">
        <f>+I21-K21</f>
        <v>347658543.37353396</v>
      </c>
      <c r="K21" s="558">
        <v>0</v>
      </c>
      <c r="N21" s="544"/>
      <c r="O21" s="314"/>
      <c r="P21" s="314"/>
      <c r="Q21" s="314"/>
      <c r="R21" s="314"/>
      <c r="S21" s="314"/>
      <c r="T21" s="314"/>
      <c r="U21" s="314"/>
      <c r="V21" s="314"/>
    </row>
    <row r="22" spans="1:22" s="534" customFormat="1" ht="12.75">
      <c r="A22" s="1002"/>
      <c r="B22" s="1254"/>
      <c r="C22" s="348"/>
      <c r="D22" s="1255"/>
      <c r="E22" s="1255"/>
      <c r="F22" s="1255"/>
      <c r="G22" s="1003"/>
      <c r="H22" s="1255"/>
      <c r="I22" s="558"/>
      <c r="J22" s="537"/>
      <c r="K22" s="558"/>
      <c r="N22" s="544"/>
      <c r="O22" s="314"/>
      <c r="P22" s="314"/>
      <c r="Q22" s="314"/>
      <c r="R22" s="314"/>
      <c r="S22" s="314"/>
      <c r="T22" s="314"/>
      <c r="U22" s="314"/>
      <c r="V22" s="314"/>
    </row>
    <row r="23" spans="1:22" s="534" customFormat="1" ht="12.75">
      <c r="A23" s="1002" t="s">
        <v>624</v>
      </c>
      <c r="B23" s="1254" t="s">
        <v>625</v>
      </c>
      <c r="C23" s="348"/>
      <c r="D23" s="1255"/>
      <c r="E23" s="1255"/>
      <c r="F23" s="1255"/>
      <c r="G23" s="1003"/>
      <c r="H23" s="1255"/>
      <c r="I23" s="1004"/>
      <c r="J23" s="1005">
        <v>0</v>
      </c>
      <c r="K23" s="1004"/>
      <c r="N23" s="544"/>
      <c r="O23" s="314"/>
      <c r="P23" s="314"/>
      <c r="Q23" s="314"/>
      <c r="R23" s="314"/>
      <c r="S23" s="314"/>
      <c r="T23" s="314"/>
      <c r="U23" s="314"/>
      <c r="V23" s="314"/>
    </row>
    <row r="24" spans="1:22" s="534" customFormat="1" ht="12.75">
      <c r="A24" s="1002"/>
      <c r="B24" s="1254"/>
      <c r="C24" s="348"/>
      <c r="D24" s="1255"/>
      <c r="E24" s="1255"/>
      <c r="F24" s="1255"/>
      <c r="G24" s="1003"/>
      <c r="H24" s="1255"/>
      <c r="I24" s="1004"/>
      <c r="J24" s="1005"/>
      <c r="K24" s="1004"/>
      <c r="N24" s="544"/>
      <c r="O24" s="314"/>
      <c r="P24" s="314"/>
      <c r="Q24" s="314"/>
      <c r="R24" s="314"/>
      <c r="S24" s="314"/>
      <c r="T24" s="314"/>
      <c r="U24" s="314"/>
      <c r="V24" s="314"/>
    </row>
    <row r="25" spans="1:22" s="534" customFormat="1" ht="12.75">
      <c r="A25" s="1002" t="s">
        <v>626</v>
      </c>
      <c r="B25" s="1254" t="s">
        <v>627</v>
      </c>
      <c r="C25" s="348"/>
      <c r="D25" s="1255"/>
      <c r="E25" s="1255"/>
      <c r="F25" s="1255"/>
      <c r="G25" s="1003"/>
      <c r="H25" s="1255"/>
      <c r="I25" s="1004"/>
      <c r="J25" s="1005">
        <v>0</v>
      </c>
      <c r="K25" s="1004"/>
      <c r="N25" s="544"/>
      <c r="O25" s="314"/>
      <c r="P25" s="314"/>
      <c r="Q25" s="314"/>
      <c r="R25" s="314"/>
      <c r="S25" s="314"/>
      <c r="T25" s="314"/>
      <c r="U25" s="314"/>
      <c r="V25" s="314"/>
    </row>
    <row r="26" spans="1:22" s="534" customFormat="1" ht="12.75">
      <c r="A26" s="532"/>
      <c r="B26" s="543"/>
      <c r="D26" s="535"/>
      <c r="E26" s="535"/>
      <c r="F26" s="536"/>
      <c r="G26" s="542"/>
      <c r="H26" s="536"/>
      <c r="I26" s="314"/>
      <c r="J26" s="314"/>
      <c r="K26" s="314"/>
      <c r="N26" s="314"/>
      <c r="O26" s="314"/>
      <c r="P26" s="314"/>
      <c r="Q26" s="314"/>
      <c r="R26" s="314"/>
      <c r="S26" s="314"/>
      <c r="T26" s="314"/>
      <c r="U26" s="314"/>
      <c r="V26" s="314"/>
    </row>
    <row r="27" spans="1:22" s="534" customFormat="1" ht="12.75">
      <c r="A27" s="532">
        <f>+A21+1</f>
        <v>6</v>
      </c>
      <c r="B27" s="543" t="s">
        <v>327</v>
      </c>
      <c r="D27" s="535"/>
      <c r="E27" s="535"/>
      <c r="F27" s="536"/>
      <c r="G27" s="542"/>
      <c r="H27" s="536"/>
      <c r="I27" s="546">
        <f>+I21+I19+I17+I15+I13+I23+I25</f>
        <v>353846974.08863395</v>
      </c>
      <c r="J27" s="546">
        <f>+J21+J19+J17+J15+J13+J23+J25</f>
        <v>347658543.37353396</v>
      </c>
      <c r="K27" s="546">
        <f>+K21+K19+K17+K15+K13+K23+K25</f>
        <v>6188430.7150999997</v>
      </c>
      <c r="N27" s="314"/>
      <c r="O27" s="314"/>
      <c r="P27" s="314"/>
      <c r="Q27" s="314"/>
      <c r="R27" s="314"/>
      <c r="S27" s="314"/>
      <c r="T27" s="314"/>
      <c r="U27" s="314"/>
      <c r="V27" s="314"/>
    </row>
    <row r="28" spans="1:22" s="534" customFormat="1" ht="12.75">
      <c r="A28" s="532"/>
      <c r="B28" s="543"/>
      <c r="D28" s="535"/>
      <c r="E28" s="535"/>
      <c r="F28" s="536"/>
      <c r="G28" s="542"/>
      <c r="H28" s="536"/>
      <c r="I28" s="314"/>
      <c r="J28" s="314"/>
      <c r="K28" s="314"/>
      <c r="N28" s="314"/>
      <c r="O28" s="314"/>
      <c r="P28" s="314"/>
      <c r="Q28" s="314"/>
      <c r="R28" s="314"/>
      <c r="S28" s="314"/>
      <c r="T28" s="314"/>
      <c r="U28" s="314"/>
      <c r="V28" s="314"/>
    </row>
    <row r="29" spans="1:22" s="534" customFormat="1" ht="12.75">
      <c r="A29" s="532">
        <f>+A27+1</f>
        <v>7</v>
      </c>
      <c r="B29" s="1513" t="s">
        <v>12</v>
      </c>
      <c r="C29" s="1459"/>
      <c r="D29" s="1459"/>
      <c r="E29" s="1459"/>
      <c r="F29" s="1459"/>
      <c r="G29" s="1459"/>
      <c r="H29" s="540"/>
      <c r="I29" s="558">
        <v>0</v>
      </c>
      <c r="J29" s="537">
        <f>+I29-K29</f>
        <v>0</v>
      </c>
      <c r="K29" s="558">
        <v>0</v>
      </c>
      <c r="N29" s="314"/>
      <c r="O29" s="314"/>
      <c r="P29" s="314"/>
      <c r="Q29" s="314"/>
      <c r="R29" s="314"/>
      <c r="S29" s="314"/>
      <c r="T29" s="314"/>
      <c r="U29" s="314"/>
      <c r="V29" s="314"/>
    </row>
    <row r="30" spans="1:22" s="534" customFormat="1" ht="12.75">
      <c r="A30" s="532"/>
      <c r="B30" s="1459"/>
      <c r="C30" s="1459"/>
      <c r="D30" s="1459"/>
      <c r="E30" s="1459"/>
      <c r="F30" s="1459"/>
      <c r="G30" s="1459"/>
      <c r="H30" s="536"/>
      <c r="I30" s="545"/>
      <c r="J30" s="536"/>
      <c r="K30" s="547"/>
      <c r="N30" s="314"/>
      <c r="O30" s="314"/>
      <c r="P30" s="314"/>
      <c r="Q30" s="314"/>
      <c r="R30" s="314"/>
      <c r="S30" s="314"/>
      <c r="T30" s="314"/>
      <c r="U30" s="314"/>
      <c r="V30" s="314"/>
    </row>
    <row r="31" spans="1:22" s="534" customFormat="1" ht="12.75">
      <c r="A31" s="532">
        <f>+A29+1</f>
        <v>8</v>
      </c>
      <c r="B31" s="548" t="s">
        <v>497</v>
      </c>
      <c r="D31" s="535"/>
      <c r="E31" s="535"/>
      <c r="F31" s="536"/>
      <c r="G31" s="542"/>
      <c r="H31" s="536"/>
      <c r="I31" s="549">
        <f>+I27+I29</f>
        <v>353846974.08863395</v>
      </c>
      <c r="J31" s="549">
        <f>+J27+J29</f>
        <v>347658543.37353396</v>
      </c>
      <c r="K31" s="549">
        <f>+K27+K29</f>
        <v>6188430.7150999997</v>
      </c>
      <c r="N31" s="314"/>
      <c r="O31" s="314"/>
      <c r="P31" s="314"/>
      <c r="Q31" s="314"/>
      <c r="R31" s="314"/>
      <c r="S31" s="314"/>
      <c r="T31" s="314"/>
      <c r="U31" s="314"/>
      <c r="V31" s="314"/>
    </row>
    <row r="32" spans="1:22" s="534" customFormat="1" ht="12.75">
      <c r="A32" s="532"/>
      <c r="B32" s="548"/>
      <c r="D32" s="535"/>
      <c r="E32" s="535"/>
      <c r="F32" s="536"/>
      <c r="G32" s="542"/>
      <c r="H32" s="536"/>
      <c r="I32" s="547"/>
      <c r="J32" s="547"/>
      <c r="K32" s="547"/>
      <c r="N32" s="314"/>
      <c r="O32" s="314"/>
      <c r="P32" s="314"/>
      <c r="Q32" s="314"/>
      <c r="R32" s="314"/>
      <c r="S32" s="314"/>
      <c r="T32" s="314"/>
      <c r="U32" s="314"/>
      <c r="V32" s="314"/>
    </row>
    <row r="33" spans="1:41" s="534" customFormat="1" ht="12.75">
      <c r="A33" s="532">
        <v>9</v>
      </c>
      <c r="B33" s="541" t="s">
        <v>547</v>
      </c>
      <c r="D33" s="535"/>
      <c r="E33" s="535"/>
      <c r="F33" s="536"/>
      <c r="G33" s="542"/>
      <c r="H33" s="536"/>
      <c r="I33" s="547"/>
      <c r="J33" s="547"/>
      <c r="K33" s="558">
        <v>0</v>
      </c>
      <c r="N33" s="314"/>
      <c r="O33" s="314"/>
      <c r="P33" s="314"/>
      <c r="Q33" s="314"/>
      <c r="R33" s="314"/>
      <c r="S33" s="314"/>
      <c r="T33" s="314"/>
      <c r="U33" s="314"/>
      <c r="V33" s="314"/>
    </row>
    <row r="34" spans="1:41" s="534" customFormat="1" ht="12.75">
      <c r="A34" s="532"/>
      <c r="B34" s="548"/>
      <c r="D34" s="535"/>
      <c r="E34" s="535"/>
      <c r="F34" s="536"/>
      <c r="G34" s="542"/>
      <c r="H34" s="536"/>
      <c r="I34" s="547"/>
      <c r="J34" s="547"/>
      <c r="K34" s="547"/>
      <c r="N34" s="314"/>
      <c r="O34" s="314"/>
      <c r="P34" s="314"/>
      <c r="Q34" s="314"/>
      <c r="R34" s="314"/>
      <c r="S34" s="314"/>
      <c r="T34" s="314"/>
      <c r="U34" s="314"/>
      <c r="V34" s="314"/>
    </row>
    <row r="35" spans="1:41" ht="15.75">
      <c r="A35" s="550"/>
      <c r="C35" s="530"/>
      <c r="D35" s="521"/>
      <c r="E35" s="521"/>
      <c r="F35" s="525"/>
      <c r="G35" s="551"/>
      <c r="H35" s="525"/>
      <c r="I35" s="552"/>
      <c r="J35" s="525"/>
      <c r="K35" s="525"/>
      <c r="L35" s="525"/>
      <c r="M35" s="553"/>
      <c r="N35" s="395"/>
      <c r="O35" s="524"/>
      <c r="P35" s="524"/>
      <c r="Q35" s="524"/>
      <c r="R35" s="524"/>
      <c r="S35" s="395"/>
      <c r="T35" s="395"/>
      <c r="U35" s="395"/>
      <c r="V35" s="395"/>
    </row>
    <row r="36" spans="1:41" s="534" customFormat="1" ht="12.75" customHeight="1">
      <c r="A36" s="209" t="s">
        <v>287</v>
      </c>
      <c r="B36" s="151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West Virginia Transmission Company's general ledger. The functional amounts identified as transmission revenue also come from the general ledger. </v>
      </c>
      <c r="C36" s="1512"/>
      <c r="D36" s="1512"/>
      <c r="E36" s="1512"/>
      <c r="F36" s="1512"/>
      <c r="G36" s="1512"/>
      <c r="H36" s="1512"/>
      <c r="I36" s="1512"/>
      <c r="J36" s="1512"/>
      <c r="K36" s="314"/>
      <c r="L36" s="314"/>
      <c r="M36" s="314"/>
      <c r="N36" s="314"/>
      <c r="O36" s="314"/>
      <c r="P36" s="314"/>
      <c r="Q36" s="314"/>
      <c r="R36" s="314"/>
      <c r="S36" s="314"/>
      <c r="T36" s="538"/>
      <c r="U36" s="314"/>
      <c r="V36" s="314"/>
    </row>
    <row r="37" spans="1:41" s="534" customFormat="1" ht="12.75">
      <c r="A37" s="314"/>
      <c r="B37" s="1512"/>
      <c r="C37" s="1512"/>
      <c r="D37" s="1512"/>
      <c r="E37" s="1512"/>
      <c r="F37" s="1512"/>
      <c r="G37" s="1512"/>
      <c r="H37" s="1512"/>
      <c r="I37" s="1512"/>
      <c r="J37" s="1512"/>
      <c r="K37" s="314"/>
      <c r="L37" s="348"/>
      <c r="M37" s="554"/>
      <c r="N37" s="554"/>
      <c r="O37" s="554"/>
      <c r="P37" s="554"/>
      <c r="Q37" s="554"/>
      <c r="R37" s="348"/>
      <c r="S37" s="348"/>
      <c r="T37" s="348"/>
      <c r="U37" s="348"/>
      <c r="V37" s="348"/>
      <c r="W37" s="555"/>
      <c r="X37" s="555"/>
      <c r="Y37" s="555"/>
      <c r="Z37" s="555"/>
      <c r="AA37" s="555"/>
      <c r="AB37" s="555"/>
      <c r="AC37" s="555"/>
      <c r="AD37" s="555"/>
      <c r="AE37" s="555"/>
      <c r="AF37" s="555"/>
      <c r="AG37" s="555"/>
      <c r="AH37" s="555"/>
      <c r="AI37" s="555"/>
      <c r="AJ37" s="555"/>
      <c r="AK37" s="555"/>
      <c r="AL37" s="555"/>
      <c r="AM37" s="555"/>
      <c r="AN37" s="555"/>
      <c r="AO37" s="555"/>
    </row>
    <row r="38" spans="1:41" s="534" customFormat="1" ht="12.75">
      <c r="A38" s="348" t="s">
        <v>628</v>
      </c>
      <c r="B38" s="1256" t="s">
        <v>629</v>
      </c>
      <c r="C38" s="1076"/>
      <c r="D38" s="1076"/>
      <c r="E38" s="1076"/>
      <c r="F38" s="1076"/>
      <c r="G38" s="1076"/>
      <c r="H38" s="1076"/>
      <c r="I38" s="1076"/>
      <c r="J38" s="1001"/>
      <c r="K38" s="554"/>
      <c r="L38" s="348"/>
      <c r="M38" s="554"/>
      <c r="N38" s="554"/>
      <c r="O38" s="554"/>
      <c r="P38" s="554"/>
      <c r="Q38" s="554"/>
      <c r="R38" s="348"/>
      <c r="S38" s="348"/>
      <c r="T38" s="348"/>
      <c r="U38" s="348"/>
      <c r="V38" s="348"/>
      <c r="W38" s="555"/>
      <c r="X38" s="555"/>
      <c r="Y38" s="555"/>
      <c r="Z38" s="555"/>
      <c r="AA38" s="555"/>
      <c r="AB38" s="555"/>
      <c r="AC38" s="555"/>
      <c r="AD38" s="555"/>
      <c r="AE38" s="555"/>
      <c r="AF38" s="555"/>
      <c r="AG38" s="555"/>
      <c r="AH38" s="555"/>
      <c r="AI38" s="555"/>
      <c r="AJ38" s="555"/>
      <c r="AK38" s="555"/>
      <c r="AL38" s="555"/>
      <c r="AM38" s="555"/>
      <c r="AN38" s="555"/>
      <c r="AO38" s="555"/>
    </row>
    <row r="39" spans="1:41" ht="15.75">
      <c r="A39" s="395"/>
      <c r="B39" s="394"/>
      <c r="E39" s="556"/>
      <c r="F39" s="556"/>
      <c r="G39" s="556"/>
      <c r="H39" s="556"/>
      <c r="I39" s="556"/>
      <c r="J39" s="556"/>
      <c r="K39" s="556"/>
      <c r="L39" s="394"/>
      <c r="M39" s="556"/>
      <c r="N39" s="556"/>
      <c r="O39" s="556"/>
      <c r="P39" s="556"/>
      <c r="Q39" s="556"/>
      <c r="R39" s="394"/>
      <c r="S39" s="394"/>
      <c r="T39" s="394"/>
      <c r="U39" s="394"/>
      <c r="V39" s="394"/>
      <c r="W39" s="557"/>
      <c r="X39" s="557"/>
      <c r="Y39" s="557"/>
      <c r="Z39" s="557"/>
      <c r="AA39" s="557"/>
      <c r="AB39" s="557"/>
      <c r="AC39" s="557"/>
      <c r="AD39" s="557"/>
      <c r="AE39" s="557"/>
      <c r="AF39" s="557"/>
      <c r="AG39" s="557"/>
      <c r="AH39" s="557"/>
      <c r="AI39" s="557"/>
      <c r="AJ39" s="557"/>
      <c r="AK39" s="557"/>
      <c r="AL39" s="557"/>
      <c r="AM39" s="557"/>
      <c r="AN39" s="557"/>
      <c r="AO39" s="557"/>
    </row>
    <row r="40" spans="1:41" ht="15.75">
      <c r="A40" s="395"/>
      <c r="B40" s="394"/>
      <c r="E40" s="556"/>
      <c r="F40" s="556"/>
      <c r="G40" s="556"/>
      <c r="H40" s="556"/>
      <c r="I40" s="556"/>
      <c r="J40" s="556"/>
      <c r="K40" s="556"/>
      <c r="L40" s="394"/>
      <c r="M40" s="556"/>
      <c r="N40" s="556"/>
      <c r="O40" s="556"/>
      <c r="P40" s="556"/>
      <c r="Q40" s="556"/>
      <c r="R40" s="394"/>
      <c r="S40" s="394"/>
      <c r="T40" s="394"/>
      <c r="U40" s="394"/>
      <c r="V40" s="394"/>
      <c r="W40" s="557"/>
      <c r="X40" s="557"/>
      <c r="Y40" s="557"/>
      <c r="Z40" s="557"/>
      <c r="AA40" s="557"/>
      <c r="AB40" s="557"/>
      <c r="AC40" s="557"/>
      <c r="AD40" s="557"/>
      <c r="AE40" s="557"/>
      <c r="AF40" s="557"/>
      <c r="AG40" s="557"/>
      <c r="AH40" s="557"/>
      <c r="AI40" s="557"/>
      <c r="AJ40" s="557"/>
      <c r="AK40" s="557"/>
      <c r="AL40" s="557"/>
      <c r="AM40" s="557"/>
      <c r="AN40" s="557"/>
      <c r="AO40" s="557"/>
    </row>
    <row r="41" spans="1:41" ht="15.75">
      <c r="A41" s="395"/>
      <c r="B41" s="394"/>
      <c r="E41" s="556"/>
      <c r="F41" s="556"/>
      <c r="G41" s="556"/>
      <c r="H41" s="556"/>
      <c r="I41" s="556"/>
      <c r="J41" s="556"/>
      <c r="K41" s="556"/>
      <c r="L41" s="394"/>
      <c r="M41" s="556"/>
      <c r="N41" s="556"/>
      <c r="O41" s="556"/>
      <c r="P41" s="556"/>
      <c r="Q41" s="556"/>
      <c r="R41" s="394"/>
      <c r="S41" s="394"/>
      <c r="T41" s="394"/>
      <c r="U41" s="394"/>
      <c r="V41" s="394"/>
      <c r="W41" s="557"/>
      <c r="X41" s="557"/>
      <c r="Y41" s="557"/>
      <c r="Z41" s="557"/>
      <c r="AA41" s="557"/>
      <c r="AB41" s="557"/>
      <c r="AC41" s="557"/>
      <c r="AD41" s="557"/>
      <c r="AE41" s="557"/>
      <c r="AF41" s="557"/>
      <c r="AG41" s="557"/>
      <c r="AH41" s="557"/>
      <c r="AI41" s="557"/>
      <c r="AJ41" s="557"/>
      <c r="AK41" s="557"/>
      <c r="AL41" s="557"/>
      <c r="AM41" s="557"/>
      <c r="AN41" s="557"/>
      <c r="AO41" s="557"/>
    </row>
    <row r="42" spans="1:41" ht="15.75">
      <c r="A42" s="395"/>
      <c r="B42" s="394"/>
      <c r="E42" s="556"/>
      <c r="F42" s="556"/>
      <c r="G42" s="556"/>
      <c r="H42" s="556"/>
      <c r="I42" s="556"/>
      <c r="J42" s="556"/>
      <c r="K42" s="556"/>
      <c r="L42" s="394"/>
      <c r="M42" s="556"/>
      <c r="N42" s="556"/>
      <c r="O42" s="556"/>
      <c r="P42" s="556"/>
      <c r="Q42" s="556"/>
      <c r="R42" s="394"/>
      <c r="S42" s="394"/>
      <c r="T42" s="394"/>
      <c r="U42" s="394"/>
      <c r="V42" s="394"/>
      <c r="W42" s="557"/>
      <c r="X42" s="557"/>
      <c r="Y42" s="557"/>
      <c r="Z42" s="557"/>
      <c r="AA42" s="557"/>
      <c r="AB42" s="557"/>
      <c r="AC42" s="557"/>
      <c r="AD42" s="557"/>
      <c r="AE42" s="557"/>
      <c r="AF42" s="557"/>
      <c r="AG42" s="557"/>
      <c r="AH42" s="557"/>
      <c r="AI42" s="557"/>
      <c r="AJ42" s="557"/>
      <c r="AK42" s="557"/>
      <c r="AL42" s="557"/>
      <c r="AM42" s="557"/>
      <c r="AN42" s="557"/>
      <c r="AO42" s="557"/>
    </row>
    <row r="43" spans="1:41" ht="15.75">
      <c r="A43" s="395"/>
      <c r="B43" s="394"/>
      <c r="E43" s="556"/>
      <c r="F43" s="556"/>
      <c r="G43" s="556"/>
      <c r="H43" s="556"/>
      <c r="I43" s="556"/>
      <c r="J43" s="556"/>
      <c r="K43" s="556"/>
      <c r="L43" s="394"/>
      <c r="M43" s="556"/>
      <c r="N43" s="556"/>
      <c r="O43" s="556"/>
      <c r="P43" s="556"/>
      <c r="Q43" s="556"/>
      <c r="R43" s="394"/>
      <c r="S43" s="394"/>
      <c r="T43" s="394"/>
      <c r="U43" s="394"/>
      <c r="V43" s="394"/>
      <c r="W43" s="557"/>
      <c r="X43" s="557"/>
      <c r="Y43" s="557"/>
      <c r="Z43" s="557"/>
      <c r="AA43" s="557"/>
      <c r="AB43" s="557"/>
      <c r="AC43" s="557"/>
      <c r="AD43" s="557"/>
      <c r="AE43" s="557"/>
      <c r="AF43" s="557"/>
      <c r="AG43" s="557"/>
      <c r="AH43" s="557"/>
      <c r="AI43" s="557"/>
      <c r="AJ43" s="557"/>
      <c r="AK43" s="557"/>
      <c r="AL43" s="557"/>
      <c r="AM43" s="557"/>
      <c r="AN43" s="557"/>
      <c r="AO43" s="557"/>
    </row>
    <row r="44" spans="1:41" ht="15.75">
      <c r="A44" s="395"/>
      <c r="B44" s="394"/>
      <c r="E44" s="556"/>
      <c r="F44" s="556"/>
      <c r="G44" s="556"/>
      <c r="H44" s="556"/>
      <c r="I44" s="556"/>
      <c r="J44" s="556"/>
      <c r="K44" s="556"/>
      <c r="L44" s="394"/>
      <c r="M44" s="556"/>
      <c r="N44" s="556"/>
      <c r="O44" s="556"/>
      <c r="P44" s="556"/>
      <c r="Q44" s="556"/>
      <c r="R44" s="394"/>
      <c r="S44" s="394"/>
      <c r="T44" s="394"/>
      <c r="U44" s="394"/>
      <c r="V44" s="394"/>
      <c r="W44" s="557"/>
      <c r="X44" s="557"/>
      <c r="Y44" s="557"/>
      <c r="Z44" s="557"/>
      <c r="AA44" s="557"/>
      <c r="AB44" s="557"/>
      <c r="AC44" s="557"/>
      <c r="AD44" s="557"/>
      <c r="AE44" s="557"/>
      <c r="AF44" s="557"/>
      <c r="AG44" s="557"/>
      <c r="AH44" s="557"/>
      <c r="AI44" s="557"/>
      <c r="AJ44" s="557"/>
      <c r="AK44" s="557"/>
      <c r="AL44" s="557"/>
      <c r="AM44" s="557"/>
      <c r="AN44" s="557"/>
      <c r="AO44" s="557"/>
    </row>
    <row r="45" spans="1:41" ht="15.75">
      <c r="A45" s="395"/>
      <c r="B45" s="394"/>
      <c r="E45" s="556"/>
      <c r="F45" s="556"/>
      <c r="G45" s="556"/>
      <c r="H45" s="556"/>
      <c r="I45" s="556"/>
      <c r="J45" s="556"/>
      <c r="K45" s="556"/>
      <c r="L45" s="394"/>
      <c r="M45" s="556"/>
      <c r="N45" s="556"/>
      <c r="O45" s="556"/>
      <c r="P45" s="556"/>
      <c r="Q45" s="556"/>
      <c r="R45" s="394"/>
      <c r="S45" s="394"/>
      <c r="T45" s="394"/>
      <c r="U45" s="394"/>
      <c r="V45" s="394"/>
      <c r="W45" s="557"/>
      <c r="X45" s="557"/>
      <c r="Y45" s="557"/>
      <c r="Z45" s="557"/>
      <c r="AA45" s="557"/>
      <c r="AB45" s="557"/>
      <c r="AC45" s="557"/>
      <c r="AD45" s="557"/>
      <c r="AE45" s="557"/>
      <c r="AF45" s="557"/>
      <c r="AG45" s="557"/>
      <c r="AH45" s="557"/>
      <c r="AI45" s="557"/>
      <c r="AJ45" s="557"/>
      <c r="AK45" s="557"/>
      <c r="AL45" s="557"/>
      <c r="AM45" s="557"/>
      <c r="AN45" s="557"/>
      <c r="AO45" s="557"/>
    </row>
    <row r="46" spans="1:41" ht="15.75">
      <c r="A46" s="395"/>
      <c r="B46" s="394"/>
      <c r="E46" s="556"/>
      <c r="F46" s="556"/>
      <c r="G46" s="556"/>
      <c r="H46" s="556"/>
      <c r="I46" s="556"/>
      <c r="J46" s="556"/>
      <c r="K46" s="556"/>
      <c r="L46" s="394"/>
      <c r="M46" s="556"/>
      <c r="N46" s="556"/>
      <c r="O46" s="556"/>
      <c r="P46" s="556"/>
      <c r="Q46" s="556"/>
      <c r="R46" s="394"/>
      <c r="S46" s="394"/>
      <c r="T46" s="394"/>
      <c r="U46" s="394"/>
      <c r="V46" s="394"/>
      <c r="W46" s="557"/>
      <c r="X46" s="557"/>
      <c r="Y46" s="557"/>
      <c r="Z46" s="557"/>
      <c r="AA46" s="557"/>
      <c r="AB46" s="557"/>
      <c r="AC46" s="557"/>
      <c r="AD46" s="557"/>
      <c r="AE46" s="557"/>
      <c r="AF46" s="557"/>
      <c r="AG46" s="557"/>
      <c r="AH46" s="557"/>
      <c r="AI46" s="557"/>
      <c r="AJ46" s="557"/>
      <c r="AK46" s="557"/>
      <c r="AL46" s="557"/>
      <c r="AM46" s="557"/>
      <c r="AN46" s="557"/>
      <c r="AO46" s="557"/>
    </row>
    <row r="47" spans="1:41" ht="15.75">
      <c r="A47" s="395"/>
      <c r="B47" s="394"/>
      <c r="E47" s="556"/>
      <c r="F47" s="556"/>
      <c r="G47" s="556"/>
      <c r="H47" s="556"/>
      <c r="I47" s="556"/>
      <c r="J47" s="556"/>
      <c r="K47" s="556"/>
      <c r="L47" s="394"/>
      <c r="M47" s="556"/>
      <c r="N47" s="556"/>
      <c r="O47" s="556"/>
      <c r="P47" s="556"/>
      <c r="Q47" s="556"/>
      <c r="R47" s="394"/>
      <c r="S47" s="394"/>
      <c r="T47" s="394"/>
      <c r="U47" s="394"/>
      <c r="V47" s="394"/>
      <c r="W47" s="557"/>
      <c r="X47" s="557"/>
      <c r="Y47" s="557"/>
      <c r="Z47" s="557"/>
      <c r="AA47" s="557"/>
      <c r="AB47" s="557"/>
      <c r="AC47" s="557"/>
      <c r="AD47" s="557"/>
      <c r="AE47" s="557"/>
      <c r="AF47" s="557"/>
      <c r="AG47" s="557"/>
      <c r="AH47" s="557"/>
      <c r="AI47" s="557"/>
      <c r="AJ47" s="557"/>
      <c r="AK47" s="557"/>
      <c r="AL47" s="557"/>
      <c r="AM47" s="557"/>
      <c r="AN47" s="557"/>
      <c r="AO47" s="557"/>
    </row>
    <row r="48" spans="1:41" ht="15.75">
      <c r="A48" s="395"/>
      <c r="B48" s="394"/>
      <c r="E48" s="556"/>
      <c r="F48" s="556"/>
      <c r="G48" s="556"/>
      <c r="H48" s="556"/>
      <c r="I48" s="556"/>
      <c r="J48" s="556"/>
      <c r="K48" s="556"/>
      <c r="L48" s="394"/>
      <c r="M48" s="556"/>
      <c r="N48" s="556"/>
      <c r="O48" s="556"/>
      <c r="P48" s="556"/>
      <c r="Q48" s="556"/>
      <c r="R48" s="394"/>
      <c r="S48" s="394"/>
      <c r="T48" s="394"/>
      <c r="U48" s="394"/>
      <c r="V48" s="394"/>
      <c r="W48" s="557"/>
      <c r="X48" s="557"/>
      <c r="Y48" s="557"/>
      <c r="Z48" s="557"/>
      <c r="AA48" s="557"/>
      <c r="AB48" s="557"/>
      <c r="AC48" s="557"/>
      <c r="AD48" s="557"/>
      <c r="AE48" s="557"/>
      <c r="AF48" s="557"/>
      <c r="AG48" s="557"/>
      <c r="AH48" s="557"/>
      <c r="AI48" s="557"/>
      <c r="AJ48" s="557"/>
      <c r="AK48" s="557"/>
      <c r="AL48" s="557"/>
      <c r="AM48" s="557"/>
      <c r="AN48" s="557"/>
      <c r="AO48" s="557"/>
    </row>
    <row r="49" spans="1:41" ht="15.75">
      <c r="I49" s="556"/>
      <c r="J49" s="556"/>
      <c r="K49" s="556"/>
      <c r="L49" s="394"/>
      <c r="M49" s="556"/>
      <c r="N49" s="556"/>
      <c r="O49" s="556"/>
      <c r="P49" s="556"/>
      <c r="Q49" s="556"/>
      <c r="R49" s="394"/>
      <c r="S49" s="394"/>
      <c r="T49" s="394"/>
      <c r="U49" s="394"/>
      <c r="V49" s="394"/>
      <c r="W49" s="557"/>
      <c r="X49" s="557"/>
      <c r="Y49" s="557"/>
      <c r="Z49" s="557"/>
      <c r="AA49" s="557"/>
      <c r="AB49" s="557"/>
      <c r="AC49" s="557"/>
      <c r="AD49" s="557"/>
      <c r="AE49" s="557"/>
      <c r="AF49" s="557"/>
      <c r="AG49" s="557"/>
      <c r="AH49" s="557"/>
      <c r="AI49" s="557"/>
      <c r="AJ49" s="557"/>
      <c r="AK49" s="557"/>
      <c r="AL49" s="557"/>
      <c r="AM49" s="557"/>
      <c r="AN49" s="557"/>
      <c r="AO49" s="557"/>
    </row>
    <row r="50" spans="1:41" ht="15.75">
      <c r="A50" s="395"/>
      <c r="B50" s="394"/>
      <c r="E50" s="556"/>
      <c r="F50" s="556"/>
      <c r="G50" s="556"/>
      <c r="H50" s="556"/>
      <c r="I50" s="556"/>
      <c r="J50" s="556"/>
      <c r="K50" s="556"/>
      <c r="L50" s="394"/>
      <c r="M50" s="556"/>
      <c r="N50" s="556"/>
      <c r="O50" s="556"/>
      <c r="P50" s="556"/>
      <c r="Q50" s="556"/>
      <c r="R50" s="394"/>
      <c r="S50" s="394"/>
      <c r="T50" s="394"/>
      <c r="U50" s="394"/>
      <c r="V50" s="394"/>
      <c r="W50" s="557"/>
      <c r="X50" s="557"/>
      <c r="Y50" s="557"/>
      <c r="Z50" s="557"/>
      <c r="AA50" s="557"/>
      <c r="AB50" s="557"/>
      <c r="AC50" s="557"/>
      <c r="AD50" s="557"/>
      <c r="AE50" s="557"/>
      <c r="AF50" s="557"/>
      <c r="AG50" s="557"/>
      <c r="AH50" s="557"/>
      <c r="AI50" s="557"/>
      <c r="AJ50" s="557"/>
      <c r="AK50" s="557"/>
      <c r="AL50" s="557"/>
      <c r="AM50" s="557"/>
      <c r="AN50" s="557"/>
      <c r="AO50" s="557"/>
    </row>
    <row r="51" spans="1:41" ht="15.75">
      <c r="A51" s="395"/>
      <c r="B51" s="394"/>
      <c r="E51" s="556"/>
      <c r="F51" s="556"/>
      <c r="G51" s="556"/>
      <c r="H51" s="556"/>
      <c r="I51" s="556"/>
      <c r="J51" s="556"/>
      <c r="K51" s="556"/>
      <c r="L51" s="394"/>
      <c r="M51" s="556"/>
      <c r="N51" s="556"/>
      <c r="O51" s="556"/>
      <c r="P51" s="556"/>
      <c r="Q51" s="556"/>
      <c r="R51" s="394"/>
      <c r="S51" s="394"/>
      <c r="T51" s="394"/>
      <c r="U51" s="394"/>
      <c r="V51" s="394"/>
      <c r="W51" s="557"/>
      <c r="X51" s="557"/>
      <c r="Y51" s="557"/>
      <c r="Z51" s="557"/>
      <c r="AA51" s="557"/>
      <c r="AB51" s="557"/>
      <c r="AC51" s="557"/>
      <c r="AD51" s="557"/>
      <c r="AE51" s="557"/>
      <c r="AF51" s="557"/>
      <c r="AG51" s="557"/>
      <c r="AH51" s="557"/>
      <c r="AI51" s="557"/>
      <c r="AJ51" s="557"/>
      <c r="AK51" s="557"/>
      <c r="AL51" s="557"/>
      <c r="AM51" s="557"/>
      <c r="AN51" s="557"/>
      <c r="AO51" s="557"/>
    </row>
    <row r="52" spans="1:41" ht="15.75">
      <c r="A52" s="395"/>
      <c r="B52" s="394"/>
      <c r="E52" s="556"/>
      <c r="F52" s="556"/>
      <c r="G52" s="556"/>
      <c r="H52" s="556"/>
      <c r="I52" s="556"/>
      <c r="J52" s="556"/>
      <c r="K52" s="556"/>
      <c r="L52" s="394"/>
      <c r="M52" s="556"/>
      <c r="N52" s="556"/>
      <c r="O52" s="556"/>
      <c r="P52" s="556"/>
      <c r="Q52" s="556"/>
      <c r="R52" s="394"/>
      <c r="S52" s="394"/>
      <c r="T52" s="394"/>
      <c r="U52" s="394"/>
      <c r="V52" s="394"/>
      <c r="W52" s="557"/>
      <c r="X52" s="557"/>
      <c r="Y52" s="557"/>
      <c r="Z52" s="557"/>
      <c r="AA52" s="557"/>
      <c r="AB52" s="557"/>
      <c r="AC52" s="557"/>
      <c r="AD52" s="557"/>
      <c r="AE52" s="557"/>
      <c r="AF52" s="557"/>
      <c r="AG52" s="557"/>
      <c r="AH52" s="557"/>
      <c r="AI52" s="557"/>
      <c r="AJ52" s="557"/>
      <c r="AK52" s="557"/>
      <c r="AL52" s="557"/>
      <c r="AM52" s="557"/>
      <c r="AN52" s="557"/>
      <c r="AO52" s="557"/>
    </row>
    <row r="53" spans="1:41" ht="15.75">
      <c r="A53" s="395"/>
      <c r="B53" s="394"/>
      <c r="E53" s="556"/>
      <c r="F53" s="556"/>
      <c r="G53" s="556"/>
      <c r="H53" s="556"/>
      <c r="I53" s="556"/>
      <c r="J53" s="556"/>
      <c r="K53" s="556"/>
      <c r="L53" s="394"/>
      <c r="M53" s="556"/>
      <c r="N53" s="556"/>
      <c r="O53" s="556"/>
      <c r="P53" s="556"/>
      <c r="Q53" s="556"/>
      <c r="R53" s="394"/>
      <c r="S53" s="394"/>
      <c r="T53" s="394"/>
      <c r="U53" s="394"/>
      <c r="V53" s="394"/>
      <c r="W53" s="557"/>
      <c r="X53" s="557"/>
      <c r="Y53" s="557"/>
      <c r="Z53" s="557"/>
      <c r="AA53" s="557"/>
      <c r="AB53" s="557"/>
      <c r="AC53" s="557"/>
      <c r="AD53" s="557"/>
      <c r="AE53" s="557"/>
      <c r="AF53" s="557"/>
      <c r="AG53" s="557"/>
      <c r="AH53" s="557"/>
      <c r="AI53" s="557"/>
      <c r="AJ53" s="557"/>
      <c r="AK53" s="557"/>
      <c r="AL53" s="557"/>
      <c r="AM53" s="557"/>
      <c r="AN53" s="557"/>
      <c r="AO53" s="557"/>
    </row>
    <row r="54" spans="1:41" ht="15.75">
      <c r="A54" s="395"/>
      <c r="B54" s="394"/>
      <c r="E54" s="556"/>
      <c r="F54" s="556"/>
      <c r="G54" s="556"/>
      <c r="H54" s="556"/>
      <c r="I54" s="556"/>
      <c r="J54" s="556"/>
      <c r="K54" s="556"/>
      <c r="L54" s="394"/>
      <c r="M54" s="556"/>
      <c r="N54" s="556"/>
      <c r="O54" s="556"/>
      <c r="P54" s="556"/>
      <c r="Q54" s="556"/>
      <c r="R54" s="394"/>
      <c r="S54" s="394"/>
      <c r="T54" s="394"/>
      <c r="U54" s="394"/>
      <c r="V54" s="394"/>
      <c r="W54" s="557"/>
      <c r="X54" s="557"/>
      <c r="Y54" s="557"/>
      <c r="Z54" s="557"/>
      <c r="AA54" s="557"/>
      <c r="AB54" s="557"/>
      <c r="AC54" s="557"/>
      <c r="AD54" s="557"/>
      <c r="AE54" s="557"/>
      <c r="AF54" s="557"/>
      <c r="AG54" s="557"/>
      <c r="AH54" s="557"/>
      <c r="AI54" s="557"/>
      <c r="AJ54" s="557"/>
      <c r="AK54" s="557"/>
      <c r="AL54" s="557"/>
      <c r="AM54" s="557"/>
      <c r="AN54" s="557"/>
      <c r="AO54" s="557"/>
    </row>
    <row r="55" spans="1:41" ht="15.75">
      <c r="A55" s="395"/>
      <c r="B55" s="394"/>
      <c r="E55" s="556"/>
      <c r="F55" s="556"/>
      <c r="G55" s="556"/>
      <c r="H55" s="556"/>
      <c r="I55" s="556"/>
      <c r="J55" s="556"/>
      <c r="K55" s="556"/>
      <c r="L55" s="394"/>
      <c r="M55" s="556"/>
      <c r="N55" s="556"/>
      <c r="O55" s="556"/>
      <c r="P55" s="556"/>
      <c r="Q55" s="556"/>
      <c r="R55" s="394"/>
      <c r="S55" s="394"/>
      <c r="T55" s="394"/>
      <c r="U55" s="394"/>
      <c r="V55" s="394"/>
      <c r="W55" s="557"/>
      <c r="X55" s="557"/>
      <c r="Y55" s="557"/>
      <c r="Z55" s="557"/>
      <c r="AA55" s="557"/>
      <c r="AB55" s="557"/>
      <c r="AC55" s="557"/>
      <c r="AD55" s="557"/>
      <c r="AE55" s="557"/>
      <c r="AF55" s="557"/>
      <c r="AG55" s="557"/>
      <c r="AH55" s="557"/>
      <c r="AI55" s="557"/>
      <c r="AJ55" s="557"/>
      <c r="AK55" s="557"/>
      <c r="AL55" s="557"/>
      <c r="AM55" s="557"/>
      <c r="AN55" s="557"/>
      <c r="AO55" s="557"/>
    </row>
    <row r="56" spans="1:41" ht="15.75">
      <c r="A56" s="395"/>
      <c r="B56" s="394"/>
      <c r="E56" s="556"/>
      <c r="F56" s="556"/>
      <c r="G56" s="556"/>
      <c r="H56" s="556"/>
      <c r="I56" s="556"/>
      <c r="J56" s="556"/>
      <c r="K56" s="556"/>
      <c r="L56" s="394"/>
      <c r="M56" s="556"/>
      <c r="N56" s="556"/>
      <c r="O56" s="556"/>
      <c r="P56" s="556"/>
      <c r="Q56" s="556"/>
      <c r="R56" s="394"/>
      <c r="S56" s="394"/>
      <c r="T56" s="394"/>
      <c r="U56" s="394"/>
      <c r="V56" s="394"/>
      <c r="W56" s="557"/>
      <c r="X56" s="557"/>
      <c r="Y56" s="557"/>
      <c r="Z56" s="557"/>
      <c r="AA56" s="557"/>
      <c r="AB56" s="557"/>
      <c r="AC56" s="557"/>
      <c r="AD56" s="557"/>
      <c r="AE56" s="557"/>
      <c r="AF56" s="557"/>
      <c r="AG56" s="557"/>
      <c r="AH56" s="557"/>
      <c r="AI56" s="557"/>
      <c r="AJ56" s="557"/>
      <c r="AK56" s="557"/>
      <c r="AL56" s="557"/>
      <c r="AM56" s="557"/>
      <c r="AN56" s="557"/>
      <c r="AO56" s="557"/>
    </row>
    <row r="57" spans="1:41" ht="15.75">
      <c r="A57" s="395"/>
      <c r="B57" s="394"/>
      <c r="E57" s="556"/>
      <c r="F57" s="556"/>
      <c r="G57" s="556"/>
      <c r="H57" s="556"/>
      <c r="I57" s="556"/>
      <c r="J57" s="556"/>
      <c r="K57" s="556"/>
      <c r="L57" s="394"/>
      <c r="M57" s="556"/>
      <c r="N57" s="556"/>
      <c r="O57" s="556"/>
      <c r="P57" s="556"/>
      <c r="Q57" s="556"/>
      <c r="R57" s="394"/>
      <c r="S57" s="394"/>
      <c r="T57" s="394"/>
      <c r="U57" s="394"/>
      <c r="V57" s="394"/>
      <c r="W57" s="557"/>
      <c r="X57" s="557"/>
      <c r="Y57" s="557"/>
      <c r="Z57" s="557"/>
      <c r="AA57" s="557"/>
      <c r="AB57" s="557"/>
      <c r="AC57" s="557"/>
      <c r="AD57" s="557"/>
      <c r="AE57" s="557"/>
      <c r="AF57" s="557"/>
      <c r="AG57" s="557"/>
      <c r="AH57" s="557"/>
      <c r="AI57" s="557"/>
      <c r="AJ57" s="557"/>
      <c r="AK57" s="557"/>
      <c r="AL57" s="557"/>
      <c r="AM57" s="557"/>
      <c r="AN57" s="557"/>
      <c r="AO57" s="557"/>
    </row>
    <row r="58" spans="1:41" ht="15.75">
      <c r="A58" s="395"/>
      <c r="B58" s="394"/>
      <c r="E58" s="556"/>
      <c r="F58" s="556"/>
      <c r="G58" s="556"/>
      <c r="H58" s="556"/>
      <c r="I58" s="556"/>
      <c r="J58" s="556"/>
      <c r="K58" s="556"/>
      <c r="L58" s="394"/>
      <c r="M58" s="556"/>
      <c r="N58" s="556"/>
      <c r="O58" s="556"/>
      <c r="P58" s="556"/>
      <c r="Q58" s="556"/>
      <c r="R58" s="394"/>
      <c r="S58" s="394"/>
      <c r="T58" s="394"/>
      <c r="U58" s="394"/>
      <c r="V58" s="394"/>
      <c r="W58" s="557"/>
      <c r="X58" s="557"/>
      <c r="Y58" s="557"/>
      <c r="Z58" s="557"/>
      <c r="AA58" s="557"/>
      <c r="AB58" s="557"/>
      <c r="AC58" s="557"/>
      <c r="AD58" s="557"/>
      <c r="AE58" s="557"/>
      <c r="AF58" s="557"/>
      <c r="AG58" s="557"/>
      <c r="AH58" s="557"/>
      <c r="AI58" s="557"/>
      <c r="AJ58" s="557"/>
      <c r="AK58" s="557"/>
      <c r="AL58" s="557"/>
      <c r="AM58" s="557"/>
      <c r="AN58" s="557"/>
      <c r="AO58" s="557"/>
    </row>
    <row r="59" spans="1:41" ht="15.75">
      <c r="A59" s="395"/>
      <c r="B59" s="394"/>
      <c r="E59" s="556"/>
      <c r="F59" s="556"/>
      <c r="G59" s="556"/>
      <c r="H59" s="556"/>
      <c r="I59" s="556"/>
      <c r="J59" s="556"/>
      <c r="K59" s="556"/>
      <c r="L59" s="394"/>
      <c r="M59" s="556"/>
      <c r="N59" s="556"/>
      <c r="O59" s="556"/>
      <c r="P59" s="556"/>
      <c r="Q59" s="556"/>
      <c r="R59" s="394"/>
      <c r="S59" s="394"/>
      <c r="T59" s="394"/>
      <c r="U59" s="394"/>
      <c r="V59" s="394"/>
      <c r="W59" s="557"/>
      <c r="X59" s="557"/>
      <c r="Y59" s="557"/>
      <c r="Z59" s="557"/>
      <c r="AA59" s="557"/>
      <c r="AB59" s="557"/>
      <c r="AC59" s="557"/>
      <c r="AD59" s="557"/>
      <c r="AE59" s="557"/>
      <c r="AF59" s="557"/>
      <c r="AG59" s="557"/>
      <c r="AH59" s="557"/>
      <c r="AI59" s="557"/>
      <c r="AJ59" s="557"/>
      <c r="AK59" s="557"/>
      <c r="AL59" s="557"/>
      <c r="AM59" s="557"/>
      <c r="AN59" s="557"/>
      <c r="AO59" s="557"/>
    </row>
    <row r="60" spans="1:41" ht="15.75">
      <c r="A60" s="395"/>
      <c r="B60" s="394"/>
      <c r="E60" s="556"/>
      <c r="F60" s="556"/>
      <c r="G60" s="556"/>
      <c r="H60" s="556"/>
      <c r="I60" s="556"/>
      <c r="J60" s="556"/>
      <c r="K60" s="556"/>
      <c r="L60" s="394"/>
      <c r="M60" s="556"/>
      <c r="N60" s="556"/>
      <c r="O60" s="556"/>
      <c r="P60" s="556"/>
      <c r="Q60" s="556"/>
      <c r="R60" s="394"/>
      <c r="S60" s="394"/>
      <c r="T60" s="394"/>
      <c r="U60" s="394"/>
      <c r="V60" s="394"/>
      <c r="W60" s="557"/>
      <c r="X60" s="557"/>
      <c r="Y60" s="557"/>
      <c r="Z60" s="557"/>
      <c r="AA60" s="557"/>
      <c r="AB60" s="557"/>
      <c r="AC60" s="557"/>
      <c r="AD60" s="557"/>
      <c r="AE60" s="557"/>
      <c r="AF60" s="557"/>
      <c r="AG60" s="557"/>
      <c r="AH60" s="557"/>
      <c r="AI60" s="557"/>
      <c r="AJ60" s="557"/>
      <c r="AK60" s="557"/>
      <c r="AL60" s="557"/>
      <c r="AM60" s="557"/>
      <c r="AN60" s="557"/>
      <c r="AO60" s="557"/>
    </row>
    <row r="61" spans="1:41" ht="15.75">
      <c r="A61" s="395"/>
      <c r="B61" s="394"/>
      <c r="E61" s="556"/>
      <c r="F61" s="556"/>
      <c r="G61" s="556"/>
      <c r="H61" s="556"/>
      <c r="I61" s="556"/>
      <c r="J61" s="556"/>
      <c r="K61" s="556"/>
      <c r="L61" s="394"/>
      <c r="M61" s="556"/>
      <c r="N61" s="556"/>
      <c r="O61" s="556"/>
      <c r="P61" s="556"/>
      <c r="Q61" s="556"/>
      <c r="R61" s="394"/>
      <c r="S61" s="394"/>
      <c r="T61" s="394"/>
      <c r="U61" s="394"/>
      <c r="V61" s="394"/>
      <c r="W61" s="557"/>
      <c r="X61" s="557"/>
      <c r="Y61" s="557"/>
      <c r="Z61" s="557"/>
      <c r="AA61" s="557"/>
      <c r="AB61" s="557"/>
      <c r="AC61" s="557"/>
      <c r="AD61" s="557"/>
      <c r="AE61" s="557"/>
      <c r="AF61" s="557"/>
      <c r="AG61" s="557"/>
      <c r="AH61" s="557"/>
      <c r="AI61" s="557"/>
      <c r="AJ61" s="557"/>
      <c r="AK61" s="557"/>
      <c r="AL61" s="557"/>
      <c r="AM61" s="557"/>
      <c r="AN61" s="557"/>
      <c r="AO61" s="557"/>
    </row>
    <row r="62" spans="1:41" ht="15.75">
      <c r="A62" s="395"/>
      <c r="B62" s="394"/>
      <c r="E62" s="556"/>
      <c r="F62" s="556"/>
      <c r="G62" s="556"/>
      <c r="H62" s="556"/>
      <c r="I62" s="556"/>
      <c r="J62" s="556"/>
      <c r="K62" s="556"/>
      <c r="L62" s="394"/>
      <c r="M62" s="556"/>
      <c r="N62" s="556"/>
      <c r="O62" s="556"/>
      <c r="P62" s="556"/>
      <c r="Q62" s="556"/>
      <c r="R62" s="394"/>
      <c r="S62" s="394"/>
      <c r="T62" s="394"/>
      <c r="U62" s="394"/>
      <c r="V62" s="394"/>
      <c r="W62" s="557"/>
      <c r="X62" s="557"/>
      <c r="Y62" s="557"/>
      <c r="Z62" s="557"/>
      <c r="AA62" s="557"/>
      <c r="AB62" s="557"/>
      <c r="AC62" s="557"/>
      <c r="AD62" s="557"/>
      <c r="AE62" s="557"/>
      <c r="AF62" s="557"/>
      <c r="AG62" s="557"/>
      <c r="AH62" s="557"/>
      <c r="AI62" s="557"/>
      <c r="AJ62" s="557"/>
      <c r="AK62" s="557"/>
      <c r="AL62" s="557"/>
      <c r="AM62" s="557"/>
      <c r="AN62" s="557"/>
      <c r="AO62" s="557"/>
    </row>
    <row r="63" spans="1:41" ht="15.75">
      <c r="A63" s="395"/>
      <c r="B63" s="394"/>
      <c r="E63" s="556"/>
      <c r="F63" s="556"/>
      <c r="G63" s="556"/>
      <c r="H63" s="556"/>
      <c r="I63" s="556"/>
      <c r="J63" s="556"/>
      <c r="K63" s="556"/>
      <c r="L63" s="394"/>
      <c r="M63" s="556"/>
      <c r="N63" s="556"/>
      <c r="O63" s="556"/>
      <c r="P63" s="556"/>
      <c r="Q63" s="556"/>
      <c r="R63" s="394"/>
      <c r="S63" s="394"/>
      <c r="T63" s="394"/>
      <c r="U63" s="394"/>
      <c r="V63" s="394"/>
      <c r="W63" s="557"/>
      <c r="X63" s="557"/>
      <c r="Y63" s="557"/>
      <c r="Z63" s="557"/>
      <c r="AA63" s="557"/>
      <c r="AB63" s="557"/>
      <c r="AC63" s="557"/>
      <c r="AD63" s="557"/>
      <c r="AE63" s="557"/>
      <c r="AF63" s="557"/>
      <c r="AG63" s="557"/>
      <c r="AH63" s="557"/>
      <c r="AI63" s="557"/>
      <c r="AJ63" s="557"/>
      <c r="AK63" s="557"/>
      <c r="AL63" s="557"/>
      <c r="AM63" s="557"/>
      <c r="AN63" s="557"/>
      <c r="AO63" s="557"/>
    </row>
    <row r="64" spans="1:41" ht="15.75">
      <c r="A64" s="395"/>
      <c r="B64" s="394"/>
      <c r="E64" s="556"/>
      <c r="F64" s="556"/>
      <c r="G64" s="556"/>
      <c r="H64" s="556"/>
      <c r="I64" s="556"/>
      <c r="J64" s="556"/>
      <c r="K64" s="556"/>
      <c r="L64" s="394"/>
      <c r="M64" s="556"/>
      <c r="N64" s="556"/>
      <c r="O64" s="556"/>
      <c r="P64" s="556"/>
      <c r="Q64" s="556"/>
      <c r="R64" s="394"/>
      <c r="S64" s="394"/>
      <c r="T64" s="394"/>
      <c r="U64" s="394"/>
      <c r="V64" s="394"/>
      <c r="W64" s="557"/>
      <c r="X64" s="557"/>
      <c r="Y64" s="557"/>
      <c r="Z64" s="557"/>
      <c r="AA64" s="557"/>
      <c r="AB64" s="557"/>
      <c r="AC64" s="557"/>
      <c r="AD64" s="557"/>
      <c r="AE64" s="557"/>
      <c r="AF64" s="557"/>
      <c r="AG64" s="557"/>
      <c r="AH64" s="557"/>
      <c r="AI64" s="557"/>
      <c r="AJ64" s="557"/>
      <c r="AK64" s="557"/>
      <c r="AL64" s="557"/>
      <c r="AM64" s="557"/>
      <c r="AN64" s="557"/>
      <c r="AO64" s="557"/>
    </row>
    <row r="65" spans="1:41" ht="15.75">
      <c r="A65" s="395"/>
      <c r="B65" s="394"/>
      <c r="E65" s="556"/>
      <c r="F65" s="556"/>
      <c r="G65" s="556"/>
      <c r="H65" s="556"/>
      <c r="I65" s="556"/>
      <c r="J65" s="556"/>
      <c r="K65" s="556"/>
      <c r="L65" s="394"/>
      <c r="M65" s="556"/>
      <c r="N65" s="556"/>
      <c r="O65" s="556"/>
      <c r="P65" s="556"/>
      <c r="Q65" s="556"/>
      <c r="R65" s="394"/>
      <c r="S65" s="394"/>
      <c r="T65" s="394"/>
      <c r="U65" s="394"/>
      <c r="V65" s="394"/>
      <c r="W65" s="557"/>
      <c r="X65" s="557"/>
      <c r="Y65" s="557"/>
      <c r="Z65" s="557"/>
      <c r="AA65" s="557"/>
      <c r="AB65" s="557"/>
      <c r="AC65" s="557"/>
      <c r="AD65" s="557"/>
      <c r="AE65" s="557"/>
      <c r="AF65" s="557"/>
      <c r="AG65" s="557"/>
      <c r="AH65" s="557"/>
      <c r="AI65" s="557"/>
      <c r="AJ65" s="557"/>
      <c r="AK65" s="557"/>
      <c r="AL65" s="557"/>
      <c r="AM65" s="557"/>
      <c r="AN65" s="557"/>
      <c r="AO65" s="557"/>
    </row>
    <row r="66" spans="1:41" ht="15.75">
      <c r="A66" s="395"/>
      <c r="B66" s="394"/>
      <c r="E66" s="556"/>
      <c r="F66" s="556"/>
      <c r="G66" s="556"/>
      <c r="H66" s="556"/>
      <c r="I66" s="556"/>
      <c r="J66" s="556"/>
      <c r="K66" s="556"/>
      <c r="L66" s="394"/>
      <c r="M66" s="556"/>
      <c r="N66" s="556"/>
      <c r="O66" s="556"/>
      <c r="P66" s="556"/>
      <c r="Q66" s="556"/>
      <c r="R66" s="394"/>
      <c r="S66" s="394"/>
      <c r="T66" s="394"/>
      <c r="U66" s="394"/>
      <c r="V66" s="394"/>
      <c r="W66" s="557"/>
      <c r="X66" s="557"/>
      <c r="Y66" s="557"/>
      <c r="Z66" s="557"/>
      <c r="AA66" s="557"/>
      <c r="AB66" s="557"/>
      <c r="AC66" s="557"/>
      <c r="AD66" s="557"/>
      <c r="AE66" s="557"/>
      <c r="AF66" s="557"/>
      <c r="AG66" s="557"/>
      <c r="AH66" s="557"/>
      <c r="AI66" s="557"/>
      <c r="AJ66" s="557"/>
      <c r="AK66" s="557"/>
      <c r="AL66" s="557"/>
      <c r="AM66" s="557"/>
      <c r="AN66" s="557"/>
      <c r="AO66" s="557"/>
    </row>
    <row r="67" spans="1:41" ht="15.75">
      <c r="A67" s="395"/>
      <c r="B67" s="394"/>
      <c r="E67" s="556"/>
      <c r="F67" s="556"/>
      <c r="G67" s="556"/>
      <c r="H67" s="556"/>
      <c r="I67" s="556"/>
      <c r="J67" s="556"/>
      <c r="K67" s="556"/>
      <c r="L67" s="394"/>
      <c r="M67" s="556"/>
      <c r="N67" s="556"/>
      <c r="O67" s="556"/>
      <c r="P67" s="556"/>
      <c r="Q67" s="556"/>
      <c r="R67" s="394"/>
      <c r="S67" s="394"/>
      <c r="T67" s="394"/>
      <c r="U67" s="394"/>
      <c r="V67" s="394"/>
      <c r="W67" s="557"/>
      <c r="X67" s="557"/>
      <c r="Y67" s="557"/>
      <c r="Z67" s="557"/>
      <c r="AA67" s="557"/>
      <c r="AB67" s="557"/>
      <c r="AC67" s="557"/>
      <c r="AD67" s="557"/>
      <c r="AE67" s="557"/>
      <c r="AF67" s="557"/>
      <c r="AG67" s="557"/>
      <c r="AH67" s="557"/>
      <c r="AI67" s="557"/>
      <c r="AJ67" s="557"/>
      <c r="AK67" s="557"/>
      <c r="AL67" s="557"/>
      <c r="AM67" s="557"/>
      <c r="AN67" s="557"/>
      <c r="AO67" s="557"/>
    </row>
    <row r="68" spans="1:41" ht="15.75">
      <c r="A68" s="395"/>
      <c r="B68" s="394"/>
      <c r="E68" s="556"/>
      <c r="F68" s="556"/>
      <c r="G68" s="556"/>
      <c r="H68" s="556"/>
      <c r="I68" s="556"/>
      <c r="J68" s="556"/>
      <c r="K68" s="556"/>
      <c r="L68" s="394"/>
      <c r="M68" s="556"/>
      <c r="N68" s="556"/>
      <c r="O68" s="556"/>
      <c r="P68" s="556"/>
      <c r="Q68" s="556"/>
      <c r="R68" s="394"/>
      <c r="S68" s="394"/>
      <c r="T68" s="394"/>
      <c r="U68" s="394"/>
      <c r="V68" s="394"/>
      <c r="W68" s="557"/>
      <c r="X68" s="557"/>
      <c r="Y68" s="557"/>
      <c r="Z68" s="557"/>
      <c r="AA68" s="557"/>
      <c r="AB68" s="557"/>
      <c r="AC68" s="557"/>
      <c r="AD68" s="557"/>
      <c r="AE68" s="557"/>
      <c r="AF68" s="557"/>
      <c r="AG68" s="557"/>
      <c r="AH68" s="557"/>
      <c r="AI68" s="557"/>
      <c r="AJ68" s="557"/>
      <c r="AK68" s="557"/>
      <c r="AL68" s="557"/>
      <c r="AM68" s="557"/>
      <c r="AN68" s="557"/>
      <c r="AO68" s="557"/>
    </row>
    <row r="69" spans="1:41" ht="15.75">
      <c r="A69" s="395"/>
      <c r="B69" s="394"/>
      <c r="E69" s="556"/>
      <c r="F69" s="556"/>
      <c r="G69" s="556"/>
      <c r="H69" s="556"/>
      <c r="I69" s="556"/>
      <c r="J69" s="556"/>
      <c r="K69" s="556"/>
      <c r="L69" s="394"/>
      <c r="M69" s="556"/>
      <c r="N69" s="556"/>
      <c r="O69" s="556"/>
      <c r="P69" s="556"/>
      <c r="Q69" s="556"/>
      <c r="R69" s="394"/>
      <c r="S69" s="394"/>
      <c r="T69" s="394"/>
      <c r="U69" s="394"/>
      <c r="V69" s="394"/>
      <c r="W69" s="557"/>
      <c r="X69" s="557"/>
      <c r="Y69" s="557"/>
      <c r="Z69" s="557"/>
      <c r="AA69" s="557"/>
      <c r="AB69" s="557"/>
      <c r="AC69" s="557"/>
      <c r="AD69" s="557"/>
      <c r="AE69" s="557"/>
      <c r="AF69" s="557"/>
      <c r="AG69" s="557"/>
      <c r="AH69" s="557"/>
      <c r="AI69" s="557"/>
      <c r="AJ69" s="557"/>
      <c r="AK69" s="557"/>
      <c r="AL69" s="557"/>
      <c r="AM69" s="557"/>
      <c r="AN69" s="557"/>
      <c r="AO69" s="557"/>
    </row>
    <row r="70" spans="1:41" ht="15.75">
      <c r="A70" s="395"/>
      <c r="B70" s="394"/>
      <c r="E70" s="556"/>
      <c r="F70" s="556"/>
      <c r="G70" s="556"/>
      <c r="H70" s="556"/>
      <c r="I70" s="556"/>
      <c r="J70" s="556"/>
      <c r="K70" s="556"/>
      <c r="L70" s="394"/>
      <c r="M70" s="556"/>
      <c r="N70" s="556"/>
      <c r="O70" s="556"/>
      <c r="P70" s="556"/>
      <c r="Q70" s="556"/>
      <c r="R70" s="394"/>
      <c r="S70" s="394"/>
      <c r="T70" s="394"/>
      <c r="U70" s="394"/>
      <c r="V70" s="394"/>
      <c r="W70" s="557"/>
      <c r="X70" s="557"/>
      <c r="Y70" s="557"/>
      <c r="Z70" s="557"/>
      <c r="AA70" s="557"/>
      <c r="AB70" s="557"/>
      <c r="AC70" s="557"/>
      <c r="AD70" s="557"/>
      <c r="AE70" s="557"/>
      <c r="AF70" s="557"/>
      <c r="AG70" s="557"/>
      <c r="AH70" s="557"/>
      <c r="AI70" s="557"/>
      <c r="AJ70" s="557"/>
      <c r="AK70" s="557"/>
      <c r="AL70" s="557"/>
      <c r="AM70" s="557"/>
      <c r="AN70" s="557"/>
      <c r="AO70" s="557"/>
    </row>
    <row r="71" spans="1:41" ht="15.75">
      <c r="A71" s="395"/>
      <c r="B71" s="394"/>
      <c r="E71" s="556"/>
      <c r="F71" s="556"/>
      <c r="G71" s="556"/>
      <c r="H71" s="556"/>
      <c r="I71" s="556"/>
      <c r="J71" s="556"/>
      <c r="K71" s="556"/>
      <c r="L71" s="394"/>
      <c r="M71" s="556"/>
      <c r="N71" s="556"/>
      <c r="O71" s="556"/>
      <c r="P71" s="556"/>
      <c r="Q71" s="556"/>
      <c r="R71" s="394"/>
      <c r="S71" s="394"/>
      <c r="T71" s="394"/>
      <c r="U71" s="394"/>
      <c r="V71" s="394"/>
      <c r="W71" s="557"/>
      <c r="X71" s="557"/>
      <c r="Y71" s="557"/>
      <c r="Z71" s="557"/>
      <c r="AA71" s="557"/>
      <c r="AB71" s="557"/>
      <c r="AC71" s="557"/>
      <c r="AD71" s="557"/>
      <c r="AE71" s="557"/>
      <c r="AF71" s="557"/>
      <c r="AG71" s="557"/>
      <c r="AH71" s="557"/>
      <c r="AI71" s="557"/>
      <c r="AJ71" s="557"/>
      <c r="AK71" s="557"/>
      <c r="AL71" s="557"/>
      <c r="AM71" s="557"/>
      <c r="AN71" s="557"/>
      <c r="AO71" s="557"/>
    </row>
    <row r="72" spans="1:41" ht="15.75">
      <c r="A72" s="395"/>
      <c r="B72" s="394"/>
      <c r="E72" s="556"/>
      <c r="F72" s="556"/>
      <c r="G72" s="556"/>
      <c r="H72" s="556"/>
      <c r="I72" s="556"/>
      <c r="J72" s="556"/>
      <c r="K72" s="556"/>
      <c r="L72" s="394"/>
      <c r="M72" s="556"/>
      <c r="N72" s="556"/>
      <c r="O72" s="556"/>
      <c r="P72" s="556"/>
      <c r="Q72" s="556"/>
      <c r="R72" s="394"/>
      <c r="S72" s="394"/>
      <c r="T72" s="394"/>
      <c r="U72" s="394"/>
      <c r="V72" s="394"/>
      <c r="W72" s="557"/>
      <c r="X72" s="557"/>
      <c r="Y72" s="557"/>
      <c r="Z72" s="557"/>
      <c r="AA72" s="557"/>
      <c r="AB72" s="557"/>
      <c r="AC72" s="557"/>
      <c r="AD72" s="557"/>
      <c r="AE72" s="557"/>
      <c r="AF72" s="557"/>
      <c r="AG72" s="557"/>
      <c r="AH72" s="557"/>
      <c r="AI72" s="557"/>
      <c r="AJ72" s="557"/>
      <c r="AK72" s="557"/>
      <c r="AL72" s="557"/>
      <c r="AM72" s="557"/>
      <c r="AN72" s="557"/>
      <c r="AO72" s="557"/>
    </row>
    <row r="73" spans="1:41" ht="15.75">
      <c r="A73" s="395"/>
      <c r="B73" s="394"/>
      <c r="E73" s="556"/>
      <c r="F73" s="556"/>
      <c r="G73" s="556"/>
      <c r="H73" s="556"/>
      <c r="I73" s="556"/>
      <c r="J73" s="556"/>
      <c r="K73" s="556"/>
      <c r="L73" s="394"/>
      <c r="M73" s="556"/>
      <c r="N73" s="556"/>
      <c r="O73" s="556"/>
      <c r="P73" s="556"/>
      <c r="Q73" s="556"/>
      <c r="R73" s="394"/>
      <c r="S73" s="394"/>
      <c r="T73" s="394"/>
      <c r="U73" s="394"/>
      <c r="V73" s="394"/>
      <c r="W73" s="557"/>
      <c r="X73" s="557"/>
      <c r="Y73" s="557"/>
      <c r="Z73" s="557"/>
      <c r="AA73" s="557"/>
      <c r="AB73" s="557"/>
      <c r="AC73" s="557"/>
      <c r="AD73" s="557"/>
      <c r="AE73" s="557"/>
      <c r="AF73" s="557"/>
      <c r="AG73" s="557"/>
      <c r="AH73" s="557"/>
      <c r="AI73" s="557"/>
      <c r="AJ73" s="557"/>
      <c r="AK73" s="557"/>
      <c r="AL73" s="557"/>
      <c r="AM73" s="557"/>
      <c r="AN73" s="557"/>
      <c r="AO73" s="557"/>
    </row>
    <row r="74" spans="1:41" ht="15.75">
      <c r="A74" s="395"/>
      <c r="B74" s="394"/>
      <c r="E74" s="556"/>
      <c r="F74" s="556"/>
      <c r="G74" s="556"/>
      <c r="H74" s="556"/>
      <c r="I74" s="556"/>
      <c r="J74" s="556"/>
      <c r="K74" s="556"/>
      <c r="L74" s="394"/>
      <c r="M74" s="556"/>
      <c r="N74" s="556"/>
      <c r="O74" s="556"/>
      <c r="P74" s="556"/>
      <c r="Q74" s="556"/>
      <c r="R74" s="394"/>
      <c r="S74" s="394"/>
      <c r="T74" s="394"/>
      <c r="U74" s="394"/>
      <c r="V74" s="394"/>
      <c r="W74" s="557"/>
      <c r="X74" s="557"/>
      <c r="Y74" s="557"/>
      <c r="Z74" s="557"/>
      <c r="AA74" s="557"/>
      <c r="AB74" s="557"/>
      <c r="AC74" s="557"/>
      <c r="AD74" s="557"/>
      <c r="AE74" s="557"/>
      <c r="AF74" s="557"/>
      <c r="AG74" s="557"/>
      <c r="AH74" s="557"/>
      <c r="AI74" s="557"/>
      <c r="AJ74" s="557"/>
      <c r="AK74" s="557"/>
      <c r="AL74" s="557"/>
      <c r="AM74" s="557"/>
      <c r="AN74" s="557"/>
      <c r="AO74" s="557"/>
    </row>
    <row r="75" spans="1:41" ht="15.75">
      <c r="A75" s="395"/>
      <c r="B75" s="394"/>
      <c r="E75" s="556"/>
      <c r="F75" s="556"/>
      <c r="G75" s="556"/>
      <c r="H75" s="556"/>
      <c r="I75" s="556"/>
      <c r="J75" s="556"/>
      <c r="K75" s="556"/>
      <c r="L75" s="394"/>
      <c r="M75" s="556"/>
      <c r="N75" s="556"/>
      <c r="O75" s="556"/>
      <c r="P75" s="556"/>
      <c r="Q75" s="556"/>
      <c r="R75" s="394"/>
      <c r="S75" s="394"/>
      <c r="T75" s="394"/>
      <c r="U75" s="394"/>
      <c r="V75" s="394"/>
      <c r="W75" s="557"/>
      <c r="X75" s="557"/>
      <c r="Y75" s="557"/>
      <c r="Z75" s="557"/>
      <c r="AA75" s="557"/>
      <c r="AB75" s="557"/>
      <c r="AC75" s="557"/>
      <c r="AD75" s="557"/>
      <c r="AE75" s="557"/>
      <c r="AF75" s="557"/>
      <c r="AG75" s="557"/>
      <c r="AH75" s="557"/>
      <c r="AI75" s="557"/>
      <c r="AJ75" s="557"/>
      <c r="AK75" s="557"/>
      <c r="AL75" s="557"/>
      <c r="AM75" s="557"/>
      <c r="AN75" s="557"/>
      <c r="AO75" s="557"/>
    </row>
    <row r="76" spans="1:41" ht="15.75">
      <c r="A76" s="395"/>
      <c r="B76" s="394"/>
      <c r="E76" s="556"/>
      <c r="F76" s="556"/>
      <c r="G76" s="556"/>
      <c r="H76" s="556"/>
      <c r="I76" s="556"/>
      <c r="J76" s="556"/>
      <c r="K76" s="556"/>
      <c r="L76" s="394"/>
      <c r="M76" s="556"/>
      <c r="N76" s="556"/>
      <c r="O76" s="556"/>
      <c r="P76" s="556"/>
      <c r="Q76" s="556"/>
      <c r="R76" s="394"/>
      <c r="S76" s="394"/>
      <c r="T76" s="394"/>
      <c r="U76" s="394"/>
      <c r="V76" s="394"/>
      <c r="W76" s="557"/>
      <c r="X76" s="557"/>
      <c r="Y76" s="557"/>
      <c r="Z76" s="557"/>
      <c r="AA76" s="557"/>
      <c r="AB76" s="557"/>
      <c r="AC76" s="557"/>
      <c r="AD76" s="557"/>
      <c r="AE76" s="557"/>
      <c r="AF76" s="557"/>
      <c r="AG76" s="557"/>
      <c r="AH76" s="557"/>
      <c r="AI76" s="557"/>
      <c r="AJ76" s="557"/>
      <c r="AK76" s="557"/>
      <c r="AL76" s="557"/>
      <c r="AM76" s="557"/>
      <c r="AN76" s="557"/>
      <c r="AO76" s="557"/>
    </row>
    <row r="77" spans="1:41" ht="15.75">
      <c r="A77" s="395"/>
      <c r="B77" s="394"/>
      <c r="E77" s="556"/>
      <c r="F77" s="556"/>
      <c r="G77" s="556"/>
      <c r="H77" s="556"/>
      <c r="I77" s="556"/>
      <c r="J77" s="556"/>
      <c r="K77" s="556"/>
      <c r="L77" s="394"/>
      <c r="M77" s="556"/>
      <c r="N77" s="556"/>
      <c r="O77" s="556"/>
      <c r="P77" s="556"/>
      <c r="Q77" s="556"/>
      <c r="R77" s="394"/>
      <c r="S77" s="394"/>
      <c r="T77" s="394"/>
      <c r="U77" s="394"/>
      <c r="V77" s="394"/>
      <c r="W77" s="557"/>
      <c r="X77" s="557"/>
      <c r="Y77" s="557"/>
      <c r="Z77" s="557"/>
      <c r="AA77" s="557"/>
      <c r="AB77" s="557"/>
      <c r="AC77" s="557"/>
      <c r="AD77" s="557"/>
      <c r="AE77" s="557"/>
      <c r="AF77" s="557"/>
      <c r="AG77" s="557"/>
      <c r="AH77" s="557"/>
      <c r="AI77" s="557"/>
      <c r="AJ77" s="557"/>
      <c r="AK77" s="557"/>
      <c r="AL77" s="557"/>
      <c r="AM77" s="557"/>
      <c r="AN77" s="557"/>
      <c r="AO77" s="557"/>
    </row>
    <row r="78" spans="1:41" ht="15.75">
      <c r="A78" s="395"/>
      <c r="B78" s="394"/>
      <c r="E78" s="556"/>
      <c r="F78" s="556"/>
      <c r="G78" s="556"/>
      <c r="H78" s="556"/>
      <c r="I78" s="556"/>
      <c r="J78" s="556"/>
      <c r="K78" s="556"/>
      <c r="L78" s="394"/>
      <c r="M78" s="556"/>
      <c r="N78" s="556"/>
      <c r="O78" s="556"/>
      <c r="P78" s="556"/>
      <c r="Q78" s="556"/>
      <c r="R78" s="394"/>
      <c r="S78" s="394"/>
      <c r="T78" s="394"/>
      <c r="U78" s="394"/>
      <c r="V78" s="394"/>
      <c r="W78" s="557"/>
      <c r="X78" s="557"/>
      <c r="Y78" s="557"/>
      <c r="Z78" s="557"/>
      <c r="AA78" s="557"/>
      <c r="AB78" s="557"/>
      <c r="AC78" s="557"/>
      <c r="AD78" s="557"/>
      <c r="AE78" s="557"/>
      <c r="AF78" s="557"/>
      <c r="AG78" s="557"/>
      <c r="AH78" s="557"/>
      <c r="AI78" s="557"/>
      <c r="AJ78" s="557"/>
      <c r="AK78" s="557"/>
      <c r="AL78" s="557"/>
      <c r="AM78" s="557"/>
      <c r="AN78" s="557"/>
      <c r="AO78" s="557"/>
    </row>
    <row r="79" spans="1:41" ht="15.75">
      <c r="A79" s="395"/>
      <c r="B79" s="394"/>
      <c r="E79" s="556"/>
      <c r="F79" s="556"/>
      <c r="G79" s="556"/>
      <c r="H79" s="556"/>
      <c r="I79" s="556"/>
      <c r="J79" s="556"/>
      <c r="K79" s="556"/>
      <c r="L79" s="394"/>
      <c r="M79" s="556"/>
      <c r="N79" s="556"/>
      <c r="O79" s="556"/>
      <c r="P79" s="556"/>
      <c r="Q79" s="556"/>
      <c r="R79" s="394"/>
      <c r="S79" s="394"/>
      <c r="T79" s="394"/>
      <c r="U79" s="394"/>
      <c r="V79" s="394"/>
      <c r="W79" s="557"/>
      <c r="X79" s="557"/>
      <c r="Y79" s="557"/>
      <c r="Z79" s="557"/>
      <c r="AA79" s="557"/>
      <c r="AB79" s="557"/>
      <c r="AC79" s="557"/>
      <c r="AD79" s="557"/>
      <c r="AE79" s="557"/>
      <c r="AF79" s="557"/>
      <c r="AG79" s="557"/>
      <c r="AH79" s="557"/>
      <c r="AI79" s="557"/>
      <c r="AJ79" s="557"/>
      <c r="AK79" s="557"/>
      <c r="AL79" s="557"/>
      <c r="AM79" s="557"/>
      <c r="AN79" s="557"/>
      <c r="AO79" s="557"/>
    </row>
    <row r="80" spans="1:41" ht="15.75">
      <c r="A80" s="395"/>
      <c r="B80" s="394"/>
      <c r="E80" s="556"/>
      <c r="F80" s="556"/>
      <c r="G80" s="556"/>
      <c r="H80" s="556"/>
      <c r="I80" s="556"/>
      <c r="J80" s="556"/>
      <c r="K80" s="556"/>
      <c r="L80" s="394"/>
      <c r="M80" s="556"/>
      <c r="N80" s="556"/>
      <c r="O80" s="556"/>
      <c r="P80" s="556"/>
      <c r="Q80" s="556"/>
      <c r="R80" s="394"/>
      <c r="S80" s="394"/>
      <c r="T80" s="394"/>
      <c r="U80" s="394"/>
      <c r="V80" s="394"/>
      <c r="W80" s="557"/>
      <c r="X80" s="557"/>
      <c r="Y80" s="557"/>
      <c r="Z80" s="557"/>
      <c r="AA80" s="557"/>
      <c r="AB80" s="557"/>
      <c r="AC80" s="557"/>
      <c r="AD80" s="557"/>
      <c r="AE80" s="557"/>
      <c r="AF80" s="557"/>
      <c r="AG80" s="557"/>
      <c r="AH80" s="557"/>
      <c r="AI80" s="557"/>
      <c r="AJ80" s="557"/>
      <c r="AK80" s="557"/>
      <c r="AL80" s="557"/>
      <c r="AM80" s="557"/>
      <c r="AN80" s="557"/>
      <c r="AO80" s="557"/>
    </row>
    <row r="81" spans="1:41" ht="15.75">
      <c r="A81" s="395"/>
      <c r="B81" s="394"/>
      <c r="E81" s="556"/>
      <c r="F81" s="556"/>
      <c r="G81" s="556"/>
      <c r="H81" s="556"/>
      <c r="I81" s="556"/>
      <c r="J81" s="556"/>
      <c r="K81" s="556"/>
      <c r="L81" s="394"/>
      <c r="M81" s="556"/>
      <c r="N81" s="556"/>
      <c r="O81" s="556"/>
      <c r="P81" s="556"/>
      <c r="Q81" s="556"/>
      <c r="R81" s="394"/>
      <c r="S81" s="394"/>
      <c r="T81" s="394"/>
      <c r="U81" s="394"/>
      <c r="V81" s="394"/>
      <c r="W81" s="557"/>
      <c r="X81" s="557"/>
      <c r="Y81" s="557"/>
      <c r="Z81" s="557"/>
      <c r="AA81" s="557"/>
      <c r="AB81" s="557"/>
      <c r="AC81" s="557"/>
      <c r="AD81" s="557"/>
      <c r="AE81" s="557"/>
      <c r="AF81" s="557"/>
      <c r="AG81" s="557"/>
      <c r="AH81" s="557"/>
      <c r="AI81" s="557"/>
      <c r="AJ81" s="557"/>
      <c r="AK81" s="557"/>
      <c r="AL81" s="557"/>
      <c r="AM81" s="557"/>
      <c r="AN81" s="557"/>
      <c r="AO81" s="557"/>
    </row>
    <row r="82" spans="1:41" ht="15.75">
      <c r="A82" s="395"/>
      <c r="B82" s="394"/>
      <c r="E82" s="556"/>
      <c r="F82" s="556"/>
      <c r="G82" s="556"/>
      <c r="H82" s="556"/>
      <c r="I82" s="556"/>
      <c r="J82" s="556"/>
      <c r="K82" s="556"/>
      <c r="L82" s="394"/>
      <c r="M82" s="556"/>
      <c r="N82" s="556"/>
      <c r="O82" s="556"/>
      <c r="P82" s="556"/>
      <c r="Q82" s="556"/>
      <c r="R82" s="394"/>
      <c r="S82" s="394"/>
      <c r="T82" s="394"/>
      <c r="U82" s="394"/>
      <c r="V82" s="394"/>
      <c r="W82" s="557"/>
      <c r="X82" s="557"/>
      <c r="Y82" s="557"/>
      <c r="Z82" s="557"/>
      <c r="AA82" s="557"/>
      <c r="AB82" s="557"/>
      <c r="AC82" s="557"/>
      <c r="AD82" s="557"/>
      <c r="AE82" s="557"/>
      <c r="AF82" s="557"/>
      <c r="AG82" s="557"/>
      <c r="AH82" s="557"/>
      <c r="AI82" s="557"/>
      <c r="AJ82" s="557"/>
      <c r="AK82" s="557"/>
      <c r="AL82" s="557"/>
      <c r="AM82" s="557"/>
      <c r="AN82" s="557"/>
      <c r="AO82" s="557"/>
    </row>
    <row r="83" spans="1:41" ht="15.75">
      <c r="A83" s="395"/>
      <c r="B83" s="394"/>
      <c r="E83" s="556"/>
      <c r="F83" s="556"/>
      <c r="G83" s="556"/>
      <c r="H83" s="556"/>
      <c r="I83" s="556"/>
      <c r="J83" s="556"/>
      <c r="K83" s="556"/>
      <c r="L83" s="394"/>
      <c r="M83" s="556"/>
      <c r="N83" s="556"/>
      <c r="O83" s="556"/>
      <c r="P83" s="556"/>
      <c r="Q83" s="556"/>
      <c r="R83" s="394"/>
      <c r="S83" s="394"/>
      <c r="T83" s="394"/>
      <c r="U83" s="394"/>
      <c r="V83" s="394"/>
      <c r="W83" s="557"/>
      <c r="X83" s="557"/>
      <c r="Y83" s="557"/>
      <c r="Z83" s="557"/>
      <c r="AA83" s="557"/>
      <c r="AB83" s="557"/>
      <c r="AC83" s="557"/>
      <c r="AD83" s="557"/>
      <c r="AE83" s="557"/>
      <c r="AF83" s="557"/>
      <c r="AG83" s="557"/>
      <c r="AH83" s="557"/>
      <c r="AI83" s="557"/>
      <c r="AJ83" s="557"/>
      <c r="AK83" s="557"/>
      <c r="AL83" s="557"/>
      <c r="AM83" s="557"/>
      <c r="AN83" s="557"/>
      <c r="AO83" s="557"/>
    </row>
    <row r="84" spans="1:41" ht="15.75">
      <c r="A84" s="395"/>
      <c r="B84" s="394"/>
      <c r="E84" s="556"/>
      <c r="F84" s="556"/>
      <c r="G84" s="556"/>
      <c r="H84" s="556"/>
      <c r="I84" s="556"/>
      <c r="J84" s="556"/>
      <c r="K84" s="556"/>
      <c r="L84" s="394"/>
      <c r="M84" s="556"/>
      <c r="N84" s="556"/>
      <c r="O84" s="556"/>
      <c r="P84" s="556"/>
      <c r="Q84" s="556"/>
      <c r="R84" s="394"/>
      <c r="S84" s="394"/>
      <c r="T84" s="394"/>
      <c r="U84" s="394"/>
      <c r="V84" s="394"/>
      <c r="W84" s="557"/>
      <c r="X84" s="557"/>
      <c r="Y84" s="557"/>
      <c r="Z84" s="557"/>
      <c r="AA84" s="557"/>
      <c r="AB84" s="557"/>
      <c r="AC84" s="557"/>
      <c r="AD84" s="557"/>
      <c r="AE84" s="557"/>
      <c r="AF84" s="557"/>
      <c r="AG84" s="557"/>
      <c r="AH84" s="557"/>
      <c r="AI84" s="557"/>
      <c r="AJ84" s="557"/>
      <c r="AK84" s="557"/>
      <c r="AL84" s="557"/>
      <c r="AM84" s="557"/>
      <c r="AN84" s="557"/>
      <c r="AO84" s="557"/>
    </row>
    <row r="85" spans="1:41" ht="15.75">
      <c r="A85" s="395"/>
      <c r="B85" s="394"/>
      <c r="E85" s="556"/>
      <c r="F85" s="556"/>
      <c r="G85" s="556"/>
      <c r="H85" s="556"/>
      <c r="I85" s="556"/>
      <c r="J85" s="556"/>
      <c r="K85" s="556"/>
      <c r="L85" s="394"/>
      <c r="M85" s="556"/>
      <c r="N85" s="556"/>
      <c r="O85" s="556"/>
      <c r="P85" s="556"/>
      <c r="Q85" s="556"/>
      <c r="R85" s="394"/>
      <c r="S85" s="394"/>
      <c r="T85" s="394"/>
      <c r="U85" s="394"/>
      <c r="V85" s="394"/>
      <c r="W85" s="557"/>
      <c r="X85" s="557"/>
      <c r="Y85" s="557"/>
      <c r="Z85" s="557"/>
      <c r="AA85" s="557"/>
      <c r="AB85" s="557"/>
      <c r="AC85" s="557"/>
      <c r="AD85" s="557"/>
      <c r="AE85" s="557"/>
      <c r="AF85" s="557"/>
      <c r="AG85" s="557"/>
      <c r="AH85" s="557"/>
      <c r="AI85" s="557"/>
      <c r="AJ85" s="557"/>
      <c r="AK85" s="557"/>
      <c r="AL85" s="557"/>
      <c r="AM85" s="557"/>
      <c r="AN85" s="557"/>
      <c r="AO85" s="557"/>
    </row>
    <row r="86" spans="1:41" ht="15.75">
      <c r="A86" s="395"/>
      <c r="B86" s="394"/>
      <c r="E86" s="556"/>
      <c r="F86" s="556"/>
      <c r="G86" s="556"/>
      <c r="H86" s="556"/>
      <c r="I86" s="556"/>
      <c r="J86" s="556"/>
      <c r="K86" s="556"/>
      <c r="L86" s="394"/>
      <c r="M86" s="556"/>
      <c r="N86" s="556"/>
      <c r="O86" s="556"/>
      <c r="P86" s="556"/>
      <c r="Q86" s="556"/>
      <c r="R86" s="394"/>
      <c r="S86" s="394"/>
      <c r="T86" s="394"/>
      <c r="U86" s="394"/>
      <c r="V86" s="394"/>
      <c r="W86" s="557"/>
      <c r="X86" s="557"/>
      <c r="Y86" s="557"/>
      <c r="Z86" s="557"/>
      <c r="AA86" s="557"/>
      <c r="AB86" s="557"/>
      <c r="AC86" s="557"/>
      <c r="AD86" s="557"/>
      <c r="AE86" s="557"/>
      <c r="AF86" s="557"/>
      <c r="AG86" s="557"/>
      <c r="AH86" s="557"/>
      <c r="AI86" s="557"/>
      <c r="AJ86" s="557"/>
      <c r="AK86" s="557"/>
      <c r="AL86" s="557"/>
      <c r="AM86" s="557"/>
      <c r="AN86" s="557"/>
      <c r="AO86" s="557"/>
    </row>
    <row r="87" spans="1:41" ht="15.75">
      <c r="A87" s="395"/>
      <c r="B87" s="394"/>
      <c r="E87" s="556"/>
      <c r="F87" s="556"/>
      <c r="G87" s="556"/>
      <c r="H87" s="556"/>
      <c r="I87" s="556"/>
      <c r="J87" s="556"/>
      <c r="K87" s="556"/>
      <c r="L87" s="394"/>
      <c r="M87" s="556"/>
      <c r="N87" s="556"/>
      <c r="O87" s="556"/>
      <c r="P87" s="556"/>
      <c r="Q87" s="556"/>
      <c r="R87" s="394"/>
      <c r="S87" s="394"/>
      <c r="T87" s="394"/>
      <c r="U87" s="394"/>
      <c r="V87" s="394"/>
      <c r="W87" s="557"/>
      <c r="X87" s="557"/>
      <c r="Y87" s="557"/>
      <c r="Z87" s="557"/>
      <c r="AA87" s="557"/>
      <c r="AB87" s="557"/>
      <c r="AC87" s="557"/>
      <c r="AD87" s="557"/>
      <c r="AE87" s="557"/>
      <c r="AF87" s="557"/>
      <c r="AG87" s="557"/>
      <c r="AH87" s="557"/>
      <c r="AI87" s="557"/>
      <c r="AJ87" s="557"/>
      <c r="AK87" s="557"/>
      <c r="AL87" s="557"/>
      <c r="AM87" s="557"/>
      <c r="AN87" s="557"/>
      <c r="AO87" s="557"/>
    </row>
    <row r="88" spans="1:41" ht="15.75">
      <c r="A88" s="395"/>
      <c r="B88" s="394"/>
      <c r="E88" s="556"/>
      <c r="F88" s="556"/>
      <c r="G88" s="556"/>
      <c r="H88" s="556"/>
      <c r="I88" s="556"/>
      <c r="J88" s="556"/>
      <c r="K88" s="556"/>
      <c r="L88" s="394"/>
      <c r="M88" s="556"/>
      <c r="N88" s="556"/>
      <c r="O88" s="556"/>
      <c r="P88" s="556"/>
      <c r="Q88" s="556"/>
      <c r="R88" s="394"/>
      <c r="S88" s="394"/>
      <c r="T88" s="394"/>
      <c r="U88" s="394"/>
      <c r="V88" s="394"/>
      <c r="W88" s="557"/>
      <c r="X88" s="557"/>
      <c r="Y88" s="557"/>
      <c r="Z88" s="557"/>
      <c r="AA88" s="557"/>
      <c r="AB88" s="557"/>
      <c r="AC88" s="557"/>
      <c r="AD88" s="557"/>
      <c r="AE88" s="557"/>
      <c r="AF88" s="557"/>
      <c r="AG88" s="557"/>
      <c r="AH88" s="557"/>
      <c r="AI88" s="557"/>
      <c r="AJ88" s="557"/>
      <c r="AK88" s="557"/>
      <c r="AL88" s="557"/>
      <c r="AM88" s="557"/>
      <c r="AN88" s="557"/>
      <c r="AO88" s="557"/>
    </row>
    <row r="89" spans="1:41" ht="15.75">
      <c r="A89" s="395"/>
      <c r="B89" s="394"/>
      <c r="E89" s="556"/>
      <c r="F89" s="556"/>
      <c r="G89" s="556"/>
      <c r="H89" s="556"/>
      <c r="I89" s="556"/>
      <c r="J89" s="556"/>
      <c r="K89" s="556"/>
      <c r="L89" s="394"/>
      <c r="M89" s="556"/>
      <c r="N89" s="556"/>
      <c r="O89" s="556"/>
      <c r="P89" s="556"/>
      <c r="Q89" s="556"/>
      <c r="R89" s="394"/>
      <c r="S89" s="394"/>
      <c r="T89" s="394"/>
      <c r="U89" s="394"/>
      <c r="V89" s="394"/>
      <c r="W89" s="557"/>
      <c r="X89" s="557"/>
      <c r="Y89" s="557"/>
      <c r="Z89" s="557"/>
      <c r="AA89" s="557"/>
      <c r="AB89" s="557"/>
      <c r="AC89" s="557"/>
      <c r="AD89" s="557"/>
      <c r="AE89" s="557"/>
      <c r="AF89" s="557"/>
      <c r="AG89" s="557"/>
      <c r="AH89" s="557"/>
      <c r="AI89" s="557"/>
      <c r="AJ89" s="557"/>
      <c r="AK89" s="557"/>
      <c r="AL89" s="557"/>
      <c r="AM89" s="557"/>
      <c r="AN89" s="557"/>
      <c r="AO89" s="557"/>
    </row>
    <row r="90" spans="1:41" ht="15.75">
      <c r="A90" s="395"/>
      <c r="B90" s="394"/>
      <c r="E90" s="556"/>
      <c r="F90" s="556"/>
      <c r="G90" s="556"/>
      <c r="H90" s="556"/>
      <c r="I90" s="556"/>
      <c r="J90" s="556"/>
      <c r="K90" s="556"/>
      <c r="L90" s="394"/>
      <c r="M90" s="556"/>
      <c r="N90" s="556"/>
      <c r="O90" s="556"/>
      <c r="P90" s="556"/>
      <c r="Q90" s="556"/>
      <c r="R90" s="394"/>
      <c r="S90" s="394"/>
      <c r="T90" s="394"/>
      <c r="U90" s="394"/>
      <c r="V90" s="394"/>
      <c r="W90" s="557"/>
      <c r="X90" s="557"/>
      <c r="Y90" s="557"/>
      <c r="Z90" s="557"/>
      <c r="AA90" s="557"/>
      <c r="AB90" s="557"/>
      <c r="AC90" s="557"/>
      <c r="AD90" s="557"/>
      <c r="AE90" s="557"/>
      <c r="AF90" s="557"/>
      <c r="AG90" s="557"/>
      <c r="AH90" s="557"/>
      <c r="AI90" s="557"/>
      <c r="AJ90" s="557"/>
      <c r="AK90" s="557"/>
      <c r="AL90" s="557"/>
      <c r="AM90" s="557"/>
      <c r="AN90" s="557"/>
      <c r="AO90" s="557"/>
    </row>
    <row r="91" spans="1:41" ht="15.75">
      <c r="A91" s="395"/>
      <c r="B91" s="394"/>
      <c r="E91" s="556"/>
      <c r="F91" s="556"/>
      <c r="G91" s="556"/>
      <c r="H91" s="556"/>
      <c r="I91" s="556"/>
      <c r="J91" s="556"/>
      <c r="K91" s="556"/>
      <c r="L91" s="394"/>
      <c r="M91" s="556"/>
      <c r="N91" s="556"/>
      <c r="O91" s="556"/>
      <c r="P91" s="556"/>
      <c r="Q91" s="556"/>
      <c r="R91" s="394"/>
      <c r="S91" s="394"/>
      <c r="T91" s="394"/>
      <c r="U91" s="394"/>
      <c r="V91" s="394"/>
      <c r="W91" s="557"/>
      <c r="X91" s="557"/>
      <c r="Y91" s="557"/>
      <c r="Z91" s="557"/>
      <c r="AA91" s="557"/>
      <c r="AB91" s="557"/>
      <c r="AC91" s="557"/>
      <c r="AD91" s="557"/>
      <c r="AE91" s="557"/>
      <c r="AF91" s="557"/>
      <c r="AG91" s="557"/>
      <c r="AH91" s="557"/>
      <c r="AI91" s="557"/>
      <c r="AJ91" s="557"/>
      <c r="AK91" s="557"/>
      <c r="AL91" s="557"/>
      <c r="AM91" s="557"/>
      <c r="AN91" s="557"/>
      <c r="AO91" s="557"/>
    </row>
    <row r="92" spans="1:41" ht="15.75">
      <c r="A92" s="395"/>
      <c r="B92" s="394"/>
      <c r="E92" s="556"/>
      <c r="F92" s="556"/>
      <c r="G92" s="556"/>
      <c r="H92" s="556"/>
      <c r="I92" s="556"/>
      <c r="J92" s="556"/>
      <c r="K92" s="556"/>
      <c r="L92" s="394"/>
      <c r="M92" s="556"/>
      <c r="N92" s="556"/>
      <c r="O92" s="556"/>
      <c r="P92" s="556"/>
      <c r="Q92" s="556"/>
      <c r="R92" s="394"/>
      <c r="S92" s="394"/>
      <c r="T92" s="394"/>
      <c r="U92" s="394"/>
      <c r="V92" s="394"/>
      <c r="W92" s="557"/>
      <c r="X92" s="557"/>
      <c r="Y92" s="557"/>
      <c r="Z92" s="557"/>
      <c r="AA92" s="557"/>
      <c r="AB92" s="557"/>
      <c r="AC92" s="557"/>
      <c r="AD92" s="557"/>
      <c r="AE92" s="557"/>
      <c r="AF92" s="557"/>
      <c r="AG92" s="557"/>
      <c r="AH92" s="557"/>
      <c r="AI92" s="557"/>
      <c r="AJ92" s="557"/>
      <c r="AK92" s="557"/>
      <c r="AL92" s="557"/>
      <c r="AM92" s="557"/>
      <c r="AN92" s="557"/>
      <c r="AO92" s="557"/>
    </row>
    <row r="93" spans="1:41" ht="15.75">
      <c r="A93" s="395"/>
      <c r="B93" s="394"/>
      <c r="E93" s="556"/>
      <c r="F93" s="556"/>
      <c r="G93" s="556"/>
      <c r="H93" s="556"/>
      <c r="I93" s="556"/>
      <c r="J93" s="556"/>
      <c r="K93" s="556"/>
      <c r="L93" s="394"/>
      <c r="M93" s="556"/>
      <c r="N93" s="556"/>
      <c r="O93" s="556"/>
      <c r="P93" s="556"/>
      <c r="Q93" s="556"/>
      <c r="R93" s="394"/>
      <c r="S93" s="394"/>
      <c r="T93" s="394"/>
      <c r="U93" s="394"/>
      <c r="V93" s="394"/>
      <c r="W93" s="557"/>
      <c r="X93" s="557"/>
      <c r="Y93" s="557"/>
      <c r="Z93" s="557"/>
      <c r="AA93" s="557"/>
      <c r="AB93" s="557"/>
      <c r="AC93" s="557"/>
      <c r="AD93" s="557"/>
      <c r="AE93" s="557"/>
      <c r="AF93" s="557"/>
      <c r="AG93" s="557"/>
      <c r="AH93" s="557"/>
      <c r="AI93" s="557"/>
      <c r="AJ93" s="557"/>
      <c r="AK93" s="557"/>
      <c r="AL93" s="557"/>
      <c r="AM93" s="557"/>
      <c r="AN93" s="557"/>
      <c r="AO93" s="557"/>
    </row>
    <row r="94" spans="1:41" ht="15.75">
      <c r="A94" s="395"/>
      <c r="B94" s="394"/>
      <c r="E94" s="556"/>
      <c r="F94" s="556"/>
      <c r="G94" s="556"/>
      <c r="H94" s="556"/>
      <c r="I94" s="556"/>
      <c r="J94" s="556"/>
      <c r="K94" s="556"/>
      <c r="L94" s="394"/>
      <c r="M94" s="556"/>
      <c r="N94" s="556"/>
      <c r="O94" s="556"/>
      <c r="P94" s="556"/>
      <c r="Q94" s="556"/>
      <c r="R94" s="394"/>
      <c r="S94" s="394"/>
      <c r="T94" s="394"/>
      <c r="U94" s="394"/>
      <c r="V94" s="394"/>
      <c r="W94" s="557"/>
      <c r="X94" s="557"/>
      <c r="Y94" s="557"/>
      <c r="Z94" s="557"/>
      <c r="AA94" s="557"/>
      <c r="AB94" s="557"/>
      <c r="AC94" s="557"/>
      <c r="AD94" s="557"/>
      <c r="AE94" s="557"/>
      <c r="AF94" s="557"/>
      <c r="AG94" s="557"/>
      <c r="AH94" s="557"/>
      <c r="AI94" s="557"/>
      <c r="AJ94" s="557"/>
      <c r="AK94" s="557"/>
      <c r="AL94" s="557"/>
      <c r="AM94" s="557"/>
      <c r="AN94" s="557"/>
      <c r="AO94" s="557"/>
    </row>
    <row r="95" spans="1:41" ht="15.75">
      <c r="A95" s="395"/>
      <c r="B95" s="394"/>
      <c r="E95" s="556"/>
      <c r="F95" s="556"/>
      <c r="G95" s="556"/>
      <c r="H95" s="556"/>
      <c r="I95" s="556"/>
      <c r="J95" s="556"/>
      <c r="K95" s="556"/>
      <c r="L95" s="394"/>
      <c r="M95" s="556"/>
      <c r="N95" s="556"/>
      <c r="O95" s="556"/>
      <c r="P95" s="556"/>
      <c r="Q95" s="556"/>
      <c r="R95" s="394"/>
      <c r="S95" s="394"/>
      <c r="T95" s="394"/>
      <c r="U95" s="394"/>
      <c r="V95" s="394"/>
      <c r="W95" s="557"/>
      <c r="X95" s="557"/>
      <c r="Y95" s="557"/>
      <c r="Z95" s="557"/>
      <c r="AA95" s="557"/>
      <c r="AB95" s="557"/>
      <c r="AC95" s="557"/>
      <c r="AD95" s="557"/>
      <c r="AE95" s="557"/>
      <c r="AF95" s="557"/>
      <c r="AG95" s="557"/>
      <c r="AH95" s="557"/>
      <c r="AI95" s="557"/>
      <c r="AJ95" s="557"/>
      <c r="AK95" s="557"/>
      <c r="AL95" s="557"/>
      <c r="AM95" s="557"/>
      <c r="AN95" s="557"/>
      <c r="AO95" s="557"/>
    </row>
    <row r="96" spans="1:41" ht="15.75">
      <c r="A96" s="395"/>
      <c r="B96" s="394"/>
      <c r="E96" s="556"/>
      <c r="F96" s="556"/>
      <c r="G96" s="556"/>
      <c r="H96" s="556"/>
      <c r="I96" s="556"/>
      <c r="J96" s="556"/>
      <c r="K96" s="556"/>
      <c r="L96" s="394"/>
      <c r="M96" s="556"/>
      <c r="N96" s="556"/>
      <c r="O96" s="556"/>
      <c r="P96" s="556"/>
      <c r="Q96" s="556"/>
      <c r="R96" s="394"/>
      <c r="S96" s="394"/>
      <c r="T96" s="394"/>
      <c r="U96" s="394"/>
      <c r="V96" s="394"/>
      <c r="W96" s="557"/>
      <c r="X96" s="557"/>
      <c r="Y96" s="557"/>
      <c r="Z96" s="557"/>
      <c r="AA96" s="557"/>
      <c r="AB96" s="557"/>
      <c r="AC96" s="557"/>
      <c r="AD96" s="557"/>
      <c r="AE96" s="557"/>
      <c r="AF96" s="557"/>
      <c r="AG96" s="557"/>
      <c r="AH96" s="557"/>
      <c r="AI96" s="557"/>
      <c r="AJ96" s="557"/>
      <c r="AK96" s="557"/>
      <c r="AL96" s="557"/>
      <c r="AM96" s="557"/>
      <c r="AN96" s="557"/>
      <c r="AO96" s="557"/>
    </row>
    <row r="97" spans="1:41" ht="15.75">
      <c r="A97" s="395"/>
      <c r="B97" s="394"/>
      <c r="E97" s="556"/>
      <c r="F97" s="556"/>
      <c r="G97" s="556"/>
      <c r="H97" s="556"/>
      <c r="I97" s="556"/>
      <c r="J97" s="556"/>
      <c r="K97" s="556"/>
      <c r="L97" s="394"/>
      <c r="M97" s="556"/>
      <c r="N97" s="556"/>
      <c r="O97" s="556"/>
      <c r="P97" s="556"/>
      <c r="Q97" s="556"/>
      <c r="R97" s="394"/>
      <c r="S97" s="394"/>
      <c r="T97" s="394"/>
      <c r="U97" s="394"/>
      <c r="V97" s="394"/>
      <c r="W97" s="557"/>
      <c r="X97" s="557"/>
      <c r="Y97" s="557"/>
      <c r="Z97" s="557"/>
      <c r="AA97" s="557"/>
      <c r="AB97" s="557"/>
      <c r="AC97" s="557"/>
      <c r="AD97" s="557"/>
      <c r="AE97" s="557"/>
      <c r="AF97" s="557"/>
      <c r="AG97" s="557"/>
      <c r="AH97" s="557"/>
      <c r="AI97" s="557"/>
      <c r="AJ97" s="557"/>
      <c r="AK97" s="557"/>
      <c r="AL97" s="557"/>
      <c r="AM97" s="557"/>
      <c r="AN97" s="557"/>
      <c r="AO97" s="557"/>
    </row>
    <row r="98" spans="1:41" ht="15.75">
      <c r="A98" s="395"/>
      <c r="B98" s="394"/>
      <c r="E98" s="556"/>
      <c r="F98" s="556"/>
      <c r="G98" s="556"/>
      <c r="H98" s="556"/>
      <c r="I98" s="556"/>
      <c r="J98" s="556"/>
      <c r="K98" s="556"/>
      <c r="L98" s="394"/>
      <c r="M98" s="556"/>
      <c r="N98" s="556"/>
      <c r="O98" s="556"/>
      <c r="P98" s="556"/>
      <c r="Q98" s="556"/>
      <c r="R98" s="394"/>
      <c r="S98" s="394"/>
      <c r="T98" s="394"/>
      <c r="U98" s="394"/>
      <c r="V98" s="394"/>
      <c r="W98" s="557"/>
      <c r="X98" s="557"/>
      <c r="Y98" s="557"/>
      <c r="Z98" s="557"/>
      <c r="AA98" s="557"/>
      <c r="AB98" s="557"/>
      <c r="AC98" s="557"/>
      <c r="AD98" s="557"/>
      <c r="AE98" s="557"/>
      <c r="AF98" s="557"/>
      <c r="AG98" s="557"/>
      <c r="AH98" s="557"/>
      <c r="AI98" s="557"/>
      <c r="AJ98" s="557"/>
      <c r="AK98" s="557"/>
      <c r="AL98" s="557"/>
      <c r="AM98" s="557"/>
      <c r="AN98" s="557"/>
      <c r="AO98" s="557"/>
    </row>
    <row r="99" spans="1:41" ht="15.75">
      <c r="A99" s="395"/>
      <c r="B99" s="394"/>
      <c r="E99" s="556"/>
      <c r="F99" s="556"/>
      <c r="G99" s="556"/>
      <c r="H99" s="556"/>
      <c r="I99" s="556"/>
      <c r="J99" s="556"/>
      <c r="K99" s="556"/>
      <c r="L99" s="394"/>
      <c r="M99" s="556"/>
      <c r="N99" s="556"/>
      <c r="O99" s="556"/>
      <c r="P99" s="556"/>
      <c r="Q99" s="556"/>
      <c r="R99" s="394"/>
      <c r="S99" s="394"/>
      <c r="T99" s="394"/>
      <c r="U99" s="394"/>
      <c r="V99" s="394"/>
      <c r="W99" s="557"/>
      <c r="X99" s="557"/>
      <c r="Y99" s="557"/>
      <c r="Z99" s="557"/>
      <c r="AA99" s="557"/>
      <c r="AB99" s="557"/>
      <c r="AC99" s="557"/>
      <c r="AD99" s="557"/>
      <c r="AE99" s="557"/>
      <c r="AF99" s="557"/>
      <c r="AG99" s="557"/>
      <c r="AH99" s="557"/>
      <c r="AI99" s="557"/>
      <c r="AJ99" s="557"/>
      <c r="AK99" s="557"/>
      <c r="AL99" s="557"/>
      <c r="AM99" s="557"/>
      <c r="AN99" s="557"/>
      <c r="AO99" s="557"/>
    </row>
    <row r="100" spans="1:41">
      <c r="A100" s="524"/>
      <c r="B100" s="524"/>
      <c r="C100" s="524"/>
      <c r="D100" s="524"/>
      <c r="E100" s="524"/>
      <c r="F100" s="524"/>
      <c r="G100" s="524"/>
      <c r="H100" s="524"/>
      <c r="I100" s="524"/>
      <c r="J100" s="524"/>
      <c r="K100" s="524"/>
      <c r="L100" s="524"/>
      <c r="M100" s="524"/>
      <c r="N100" s="524"/>
      <c r="O100" s="524"/>
      <c r="P100" s="524"/>
      <c r="Q100" s="524"/>
      <c r="R100" s="524"/>
      <c r="S100" s="524"/>
      <c r="T100" s="524"/>
      <c r="U100" s="524"/>
      <c r="V100" s="524"/>
      <c r="W100" s="557"/>
      <c r="X100" s="557"/>
      <c r="Y100" s="557"/>
      <c r="Z100" s="557"/>
      <c r="AA100" s="557"/>
      <c r="AB100" s="557"/>
      <c r="AC100" s="557"/>
      <c r="AD100" s="557"/>
      <c r="AE100" s="557"/>
      <c r="AF100" s="557"/>
      <c r="AG100" s="557"/>
      <c r="AH100" s="557"/>
      <c r="AI100" s="557"/>
      <c r="AJ100" s="557"/>
      <c r="AK100" s="557"/>
      <c r="AL100" s="557"/>
      <c r="AM100" s="557"/>
      <c r="AN100" s="557"/>
      <c r="AO100" s="557"/>
    </row>
    <row r="101" spans="1:41">
      <c r="A101" s="524"/>
      <c r="B101" s="524"/>
      <c r="C101" s="524"/>
      <c r="D101" s="524"/>
      <c r="E101" s="524"/>
      <c r="F101" s="524"/>
      <c r="G101" s="524"/>
      <c r="H101" s="524"/>
      <c r="I101" s="524"/>
      <c r="J101" s="524"/>
      <c r="K101" s="524"/>
      <c r="L101" s="524"/>
      <c r="M101" s="524"/>
      <c r="N101" s="524"/>
      <c r="O101" s="524"/>
      <c r="P101" s="524"/>
      <c r="Q101" s="524"/>
      <c r="R101" s="524"/>
      <c r="S101" s="524"/>
      <c r="T101" s="524"/>
      <c r="U101" s="524"/>
      <c r="V101" s="524"/>
      <c r="W101" s="557"/>
      <c r="X101" s="557"/>
      <c r="Y101" s="557"/>
      <c r="Z101" s="557"/>
      <c r="AA101" s="557"/>
      <c r="AB101" s="557"/>
      <c r="AC101" s="557"/>
      <c r="AD101" s="557"/>
      <c r="AE101" s="557"/>
      <c r="AF101" s="557"/>
      <c r="AG101" s="557"/>
      <c r="AH101" s="557"/>
      <c r="AI101" s="557"/>
      <c r="AJ101" s="557"/>
      <c r="AK101" s="557"/>
      <c r="AL101" s="557"/>
      <c r="AM101" s="557"/>
      <c r="AN101" s="557"/>
      <c r="AO101" s="557"/>
    </row>
    <row r="102" spans="1:41">
      <c r="A102" s="524"/>
      <c r="B102" s="524"/>
      <c r="C102" s="524"/>
      <c r="D102" s="524"/>
      <c r="E102" s="524"/>
      <c r="F102" s="524"/>
      <c r="G102" s="524"/>
      <c r="H102" s="524"/>
      <c r="I102" s="524"/>
      <c r="J102" s="524"/>
      <c r="K102" s="524"/>
      <c r="L102" s="524"/>
      <c r="M102" s="524"/>
      <c r="N102" s="524"/>
      <c r="O102" s="524"/>
      <c r="P102" s="524"/>
      <c r="Q102" s="524"/>
      <c r="R102" s="524"/>
      <c r="S102" s="524"/>
      <c r="T102" s="524"/>
      <c r="U102" s="524"/>
      <c r="V102" s="524"/>
      <c r="W102" s="557"/>
      <c r="X102" s="557"/>
      <c r="Y102" s="557"/>
      <c r="Z102" s="557"/>
      <c r="AA102" s="557"/>
      <c r="AB102" s="557"/>
      <c r="AC102" s="557"/>
      <c r="AD102" s="557"/>
      <c r="AE102" s="557"/>
      <c r="AF102" s="557"/>
      <c r="AG102" s="557"/>
      <c r="AH102" s="557"/>
      <c r="AI102" s="557"/>
      <c r="AJ102" s="557"/>
      <c r="AK102" s="557"/>
      <c r="AL102" s="557"/>
      <c r="AM102" s="557"/>
      <c r="AN102" s="557"/>
      <c r="AO102" s="557"/>
    </row>
    <row r="103" spans="1:41">
      <c r="A103" s="524"/>
      <c r="B103" s="524"/>
      <c r="C103" s="524"/>
      <c r="D103" s="524"/>
      <c r="E103" s="524"/>
      <c r="F103" s="524"/>
      <c r="G103" s="524"/>
      <c r="H103" s="524"/>
      <c r="I103" s="524"/>
      <c r="J103" s="524"/>
      <c r="K103" s="524"/>
      <c r="L103" s="524"/>
      <c r="M103" s="524"/>
      <c r="N103" s="524"/>
      <c r="O103" s="524"/>
      <c r="P103" s="524"/>
      <c r="Q103" s="524"/>
      <c r="R103" s="524"/>
      <c r="S103" s="524"/>
      <c r="T103" s="524"/>
      <c r="U103" s="524"/>
      <c r="V103" s="524"/>
    </row>
    <row r="104" spans="1:41">
      <c r="A104" s="524"/>
      <c r="B104" s="524"/>
      <c r="C104" s="524"/>
      <c r="D104" s="524"/>
      <c r="E104" s="524"/>
      <c r="F104" s="524"/>
      <c r="G104" s="524"/>
      <c r="H104" s="524"/>
      <c r="I104" s="524"/>
      <c r="J104" s="524"/>
      <c r="K104" s="524"/>
      <c r="L104" s="524"/>
      <c r="M104" s="524"/>
      <c r="N104" s="524"/>
      <c r="O104" s="524"/>
      <c r="P104" s="524"/>
      <c r="Q104" s="524"/>
      <c r="R104" s="524"/>
      <c r="S104" s="524"/>
      <c r="T104" s="524"/>
      <c r="U104" s="524"/>
      <c r="V104" s="524"/>
    </row>
    <row r="105" spans="1:41">
      <c r="A105" s="524"/>
      <c r="B105" s="524"/>
      <c r="C105" s="524"/>
      <c r="D105" s="524"/>
      <c r="E105" s="524"/>
      <c r="F105" s="524"/>
      <c r="G105" s="524"/>
      <c r="H105" s="524"/>
      <c r="I105" s="524"/>
      <c r="J105" s="524"/>
      <c r="K105" s="524"/>
      <c r="L105" s="524"/>
      <c r="M105" s="524"/>
      <c r="N105" s="524"/>
      <c r="O105" s="524"/>
      <c r="P105" s="524"/>
      <c r="Q105" s="524"/>
      <c r="R105" s="524"/>
      <c r="S105" s="524"/>
      <c r="T105" s="524"/>
      <c r="U105" s="524"/>
      <c r="V105" s="524"/>
    </row>
    <row r="106" spans="1:41">
      <c r="A106" s="524"/>
      <c r="B106" s="524"/>
      <c r="C106" s="524"/>
      <c r="D106" s="524"/>
      <c r="E106" s="524"/>
      <c r="F106" s="524"/>
      <c r="G106" s="524"/>
      <c r="H106" s="524"/>
      <c r="I106" s="524"/>
      <c r="J106" s="524"/>
      <c r="K106" s="524"/>
      <c r="L106" s="524"/>
      <c r="M106" s="524"/>
      <c r="N106" s="524"/>
      <c r="O106" s="524"/>
      <c r="P106" s="524"/>
      <c r="Q106" s="524"/>
      <c r="R106" s="524"/>
      <c r="S106" s="524"/>
      <c r="T106" s="524"/>
      <c r="U106" s="524"/>
      <c r="V106" s="524"/>
    </row>
    <row r="107" spans="1:41" ht="12.75" customHeight="1">
      <c r="A107" s="524"/>
      <c r="B107" s="524"/>
      <c r="C107" s="524"/>
      <c r="D107" s="524"/>
      <c r="E107" s="524"/>
      <c r="F107" s="524"/>
      <c r="G107" s="524"/>
      <c r="H107" s="524"/>
      <c r="I107" s="524"/>
      <c r="J107" s="524"/>
      <c r="K107" s="524"/>
      <c r="L107" s="524"/>
      <c r="M107" s="524"/>
      <c r="N107" s="524"/>
      <c r="O107" s="524"/>
      <c r="P107" s="524"/>
      <c r="Q107" s="524"/>
      <c r="R107" s="524"/>
      <c r="S107" s="524"/>
      <c r="T107" s="524"/>
      <c r="U107" s="524"/>
      <c r="V107" s="524"/>
    </row>
    <row r="108" spans="1:41" ht="12.75" customHeight="1">
      <c r="A108" s="524"/>
      <c r="B108" s="524"/>
      <c r="C108" s="524"/>
      <c r="D108" s="524"/>
      <c r="E108" s="524"/>
      <c r="F108" s="524"/>
      <c r="G108" s="524"/>
      <c r="H108" s="524"/>
      <c r="I108" s="524"/>
      <c r="J108" s="524"/>
      <c r="K108" s="524"/>
      <c r="L108" s="524"/>
      <c r="M108" s="524"/>
      <c r="N108" s="524"/>
      <c r="O108" s="524"/>
      <c r="P108" s="524"/>
      <c r="Q108" s="524"/>
      <c r="R108" s="524"/>
      <c r="S108" s="524"/>
      <c r="T108" s="524"/>
      <c r="U108" s="524"/>
      <c r="V108" s="524"/>
    </row>
    <row r="109" spans="1:41" ht="12.75" customHeight="1">
      <c r="A109" s="524"/>
      <c r="B109" s="524"/>
      <c r="C109" s="524"/>
      <c r="D109" s="524"/>
      <c r="E109" s="524"/>
      <c r="F109" s="524"/>
      <c r="G109" s="524"/>
      <c r="H109" s="524"/>
      <c r="I109" s="524"/>
      <c r="J109" s="524"/>
      <c r="K109" s="524"/>
      <c r="L109" s="524"/>
      <c r="M109" s="524"/>
      <c r="N109" s="524"/>
      <c r="O109" s="524"/>
      <c r="P109" s="524"/>
      <c r="Q109" s="524"/>
      <c r="R109" s="524"/>
      <c r="S109" s="524"/>
      <c r="T109" s="524"/>
      <c r="U109" s="524"/>
      <c r="V109" s="524"/>
    </row>
    <row r="110" spans="1:41" ht="12.75" customHeight="1">
      <c r="A110" s="524"/>
      <c r="B110" s="524"/>
      <c r="C110" s="524"/>
      <c r="D110" s="524"/>
      <c r="E110" s="524"/>
      <c r="F110" s="524"/>
      <c r="G110" s="524"/>
      <c r="H110" s="524"/>
      <c r="I110" s="524"/>
      <c r="J110" s="524"/>
      <c r="K110" s="524"/>
      <c r="L110" s="524"/>
      <c r="M110" s="524"/>
      <c r="N110" s="524"/>
      <c r="O110" s="524"/>
      <c r="P110" s="524"/>
      <c r="Q110" s="524"/>
      <c r="R110" s="524"/>
      <c r="S110" s="524"/>
      <c r="T110" s="524"/>
      <c r="U110" s="524"/>
      <c r="V110" s="524"/>
    </row>
    <row r="111" spans="1:41" ht="12.75" customHeight="1">
      <c r="A111" s="524"/>
      <c r="B111" s="524"/>
      <c r="C111" s="524"/>
      <c r="D111" s="524"/>
      <c r="E111" s="524"/>
      <c r="F111" s="524"/>
      <c r="G111" s="524"/>
      <c r="H111" s="524"/>
      <c r="I111" s="524"/>
      <c r="J111" s="524"/>
      <c r="K111" s="524"/>
      <c r="L111" s="524"/>
      <c r="M111" s="524"/>
      <c r="N111" s="524"/>
      <c r="O111" s="524"/>
      <c r="P111" s="524"/>
      <c r="Q111" s="524"/>
      <c r="R111" s="524"/>
      <c r="S111" s="524"/>
      <c r="T111" s="524"/>
      <c r="U111" s="524"/>
      <c r="V111" s="524"/>
    </row>
    <row r="112" spans="1:41" ht="12.75" customHeight="1">
      <c r="A112" s="524"/>
      <c r="B112" s="524"/>
      <c r="C112" s="524"/>
      <c r="D112" s="524"/>
      <c r="E112" s="524"/>
      <c r="F112" s="524"/>
      <c r="G112" s="524"/>
      <c r="H112" s="524"/>
      <c r="I112" s="524"/>
      <c r="J112" s="524"/>
      <c r="K112" s="524"/>
      <c r="L112" s="524"/>
      <c r="M112" s="524"/>
      <c r="N112" s="524"/>
      <c r="O112" s="524"/>
      <c r="P112" s="524"/>
      <c r="Q112" s="524"/>
      <c r="R112" s="524"/>
      <c r="S112" s="524"/>
      <c r="T112" s="524"/>
      <c r="U112" s="524"/>
      <c r="V112" s="524"/>
    </row>
    <row r="113" spans="1:22" ht="12.75" customHeight="1">
      <c r="A113" s="524"/>
      <c r="B113" s="524"/>
      <c r="C113" s="524"/>
      <c r="D113" s="524"/>
      <c r="E113" s="524"/>
      <c r="F113" s="524"/>
      <c r="G113" s="524"/>
      <c r="H113" s="524"/>
      <c r="I113" s="524"/>
      <c r="J113" s="524"/>
      <c r="K113" s="524"/>
      <c r="L113" s="524"/>
      <c r="M113" s="524"/>
      <c r="N113" s="524"/>
      <c r="O113" s="524"/>
      <c r="P113" s="524"/>
      <c r="Q113" s="524"/>
      <c r="R113" s="524"/>
      <c r="S113" s="524"/>
      <c r="T113" s="524"/>
      <c r="U113" s="524"/>
      <c r="V113" s="524"/>
    </row>
    <row r="114" spans="1:22" ht="12.75" customHeight="1">
      <c r="A114" s="524"/>
      <c r="B114" s="524"/>
      <c r="C114" s="524"/>
      <c r="D114" s="524"/>
      <c r="E114" s="524"/>
      <c r="F114" s="524"/>
      <c r="G114" s="524"/>
      <c r="H114" s="524"/>
      <c r="I114" s="524"/>
      <c r="J114" s="524"/>
      <c r="K114" s="524"/>
      <c r="L114" s="524"/>
      <c r="M114" s="524"/>
      <c r="N114" s="524"/>
      <c r="O114" s="524"/>
      <c r="P114" s="524"/>
      <c r="Q114" s="524"/>
      <c r="R114" s="524"/>
      <c r="S114" s="524"/>
      <c r="T114" s="524"/>
      <c r="U114" s="524"/>
      <c r="V114" s="524"/>
    </row>
    <row r="115" spans="1:22" ht="12.75" customHeight="1">
      <c r="A115" s="524"/>
      <c r="B115" s="524"/>
      <c r="C115" s="524"/>
      <c r="D115" s="524"/>
      <c r="E115" s="524"/>
      <c r="F115" s="524"/>
      <c r="G115" s="524"/>
      <c r="H115" s="524"/>
      <c r="I115" s="524"/>
      <c r="J115" s="524"/>
      <c r="K115" s="524"/>
      <c r="L115" s="524"/>
      <c r="M115" s="524"/>
      <c r="N115" s="524"/>
      <c r="O115" s="524"/>
      <c r="P115" s="524"/>
      <c r="Q115" s="524"/>
      <c r="R115" s="524"/>
      <c r="S115" s="524"/>
      <c r="T115" s="524"/>
      <c r="U115" s="524"/>
      <c r="V115" s="524"/>
    </row>
    <row r="116" spans="1:22" ht="12.75" customHeight="1">
      <c r="A116" s="524"/>
      <c r="B116" s="524"/>
      <c r="C116" s="524"/>
      <c r="D116" s="524"/>
      <c r="E116" s="524"/>
      <c r="F116" s="524"/>
      <c r="G116" s="524"/>
      <c r="H116" s="524"/>
      <c r="I116" s="524"/>
      <c r="J116" s="524"/>
      <c r="K116" s="524"/>
      <c r="L116" s="524"/>
      <c r="M116" s="524"/>
      <c r="N116" s="524"/>
      <c r="O116" s="524"/>
      <c r="P116" s="524"/>
      <c r="Q116" s="524"/>
      <c r="R116" s="524"/>
      <c r="S116" s="524"/>
      <c r="T116" s="524"/>
      <c r="U116" s="524"/>
      <c r="V116" s="524"/>
    </row>
    <row r="117" spans="1:22" ht="12.75" customHeight="1">
      <c r="A117" s="524"/>
      <c r="B117" s="524"/>
      <c r="C117" s="524"/>
      <c r="D117" s="524"/>
      <c r="E117" s="524"/>
      <c r="F117" s="524"/>
      <c r="G117" s="524"/>
      <c r="H117" s="524"/>
      <c r="I117" s="524"/>
      <c r="J117" s="524"/>
      <c r="K117" s="524"/>
      <c r="L117" s="524"/>
      <c r="M117" s="524"/>
      <c r="N117" s="524"/>
      <c r="O117" s="524"/>
      <c r="P117" s="524"/>
      <c r="Q117" s="524"/>
      <c r="R117" s="524"/>
      <c r="S117" s="524"/>
      <c r="T117" s="524"/>
      <c r="U117" s="524"/>
      <c r="V117" s="524"/>
    </row>
    <row r="118" spans="1:22">
      <c r="A118" s="524"/>
      <c r="B118" s="524"/>
      <c r="C118" s="524"/>
      <c r="D118" s="524"/>
      <c r="E118" s="524"/>
      <c r="F118" s="524"/>
      <c r="G118" s="524"/>
      <c r="H118" s="524"/>
      <c r="I118" s="524"/>
      <c r="J118" s="524"/>
      <c r="K118" s="524"/>
      <c r="L118" s="524"/>
      <c r="M118" s="524"/>
      <c r="N118" s="524"/>
      <c r="O118" s="524"/>
      <c r="P118" s="524"/>
      <c r="Q118" s="524"/>
      <c r="R118" s="524"/>
      <c r="S118" s="524"/>
      <c r="T118" s="524"/>
      <c r="U118" s="524"/>
      <c r="V118" s="524"/>
    </row>
    <row r="119" spans="1:22">
      <c r="A119" s="524"/>
      <c r="B119" s="524"/>
      <c r="C119" s="524"/>
      <c r="D119" s="524"/>
      <c r="E119" s="524"/>
      <c r="F119" s="524"/>
      <c r="G119" s="524"/>
      <c r="H119" s="524"/>
      <c r="I119" s="524"/>
      <c r="J119" s="524"/>
      <c r="K119" s="524"/>
      <c r="L119" s="524"/>
      <c r="M119" s="524"/>
      <c r="N119" s="524"/>
      <c r="O119" s="524"/>
      <c r="P119" s="524"/>
      <c r="Q119" s="524"/>
      <c r="R119" s="524"/>
      <c r="S119" s="524"/>
      <c r="T119" s="524"/>
      <c r="U119" s="524"/>
      <c r="V119" s="524"/>
    </row>
    <row r="120" spans="1:22">
      <c r="A120" s="524"/>
      <c r="B120" s="524"/>
      <c r="C120" s="524"/>
      <c r="D120" s="524"/>
      <c r="E120" s="524"/>
      <c r="F120" s="524"/>
      <c r="G120" s="524"/>
      <c r="H120" s="524"/>
      <c r="I120" s="524"/>
      <c r="J120" s="524"/>
      <c r="K120" s="524"/>
      <c r="L120" s="524"/>
      <c r="M120" s="524"/>
      <c r="N120" s="524"/>
      <c r="O120" s="524"/>
      <c r="P120" s="524"/>
      <c r="Q120" s="524"/>
      <c r="R120" s="524"/>
      <c r="S120" s="524"/>
      <c r="T120" s="524"/>
      <c r="U120" s="524"/>
      <c r="V120" s="524"/>
    </row>
    <row r="121" spans="1:22">
      <c r="A121" s="524"/>
      <c r="B121" s="524"/>
      <c r="C121" s="524"/>
      <c r="D121" s="524"/>
      <c r="E121" s="524"/>
      <c r="F121" s="524"/>
      <c r="G121" s="524"/>
      <c r="H121" s="524"/>
      <c r="I121" s="524"/>
      <c r="J121" s="524"/>
      <c r="K121" s="524"/>
      <c r="L121" s="524"/>
      <c r="M121" s="524"/>
      <c r="N121" s="524"/>
      <c r="O121" s="524"/>
      <c r="P121" s="524"/>
      <c r="Q121" s="524"/>
      <c r="R121" s="524"/>
      <c r="S121" s="524"/>
      <c r="T121" s="524"/>
      <c r="U121" s="524"/>
      <c r="V121" s="524"/>
    </row>
    <row r="122" spans="1:22">
      <c r="A122" s="524"/>
      <c r="B122" s="524"/>
      <c r="C122" s="524"/>
      <c r="D122" s="524"/>
      <c r="E122" s="524"/>
      <c r="F122" s="524"/>
      <c r="G122" s="524"/>
      <c r="H122" s="524"/>
      <c r="I122" s="524"/>
      <c r="J122" s="524"/>
      <c r="K122" s="524"/>
      <c r="L122" s="524"/>
      <c r="M122" s="524"/>
      <c r="N122" s="524"/>
      <c r="O122" s="524"/>
      <c r="P122" s="524"/>
      <c r="Q122" s="524"/>
      <c r="R122" s="524"/>
      <c r="S122" s="524"/>
      <c r="T122" s="524"/>
      <c r="U122" s="524"/>
      <c r="V122" s="524"/>
    </row>
    <row r="123" spans="1:22">
      <c r="A123" s="524"/>
      <c r="B123" s="524"/>
      <c r="C123" s="524"/>
      <c r="D123" s="524"/>
      <c r="E123" s="524"/>
      <c r="F123" s="524"/>
      <c r="G123" s="524"/>
      <c r="H123" s="524"/>
      <c r="I123" s="524"/>
      <c r="J123" s="524"/>
      <c r="K123" s="524"/>
      <c r="L123" s="524"/>
      <c r="M123" s="524"/>
      <c r="N123" s="524"/>
      <c r="O123" s="524"/>
      <c r="P123" s="524"/>
      <c r="Q123" s="524"/>
      <c r="R123" s="524"/>
      <c r="S123" s="524"/>
      <c r="T123" s="524"/>
      <c r="U123" s="524"/>
      <c r="V123" s="524"/>
    </row>
    <row r="124" spans="1:22">
      <c r="A124" s="524"/>
      <c r="B124" s="524"/>
      <c r="C124" s="524"/>
      <c r="D124" s="524"/>
      <c r="E124" s="524"/>
      <c r="F124" s="524"/>
      <c r="G124" s="524"/>
      <c r="H124" s="524"/>
      <c r="I124" s="524"/>
      <c r="J124" s="524"/>
      <c r="K124" s="524"/>
      <c r="L124" s="524"/>
      <c r="M124" s="524"/>
      <c r="N124" s="524"/>
      <c r="O124" s="524"/>
      <c r="P124" s="524"/>
      <c r="Q124" s="524"/>
      <c r="R124" s="524"/>
      <c r="S124" s="524"/>
      <c r="T124" s="524"/>
      <c r="U124" s="524"/>
      <c r="V124" s="524"/>
    </row>
    <row r="125" spans="1:22">
      <c r="A125" s="524"/>
      <c r="B125" s="524"/>
      <c r="C125" s="524"/>
      <c r="D125" s="524"/>
      <c r="E125" s="524"/>
      <c r="F125" s="524"/>
      <c r="G125" s="524"/>
      <c r="H125" s="524"/>
      <c r="I125" s="524"/>
      <c r="J125" s="524"/>
      <c r="K125" s="524"/>
      <c r="L125" s="524"/>
      <c r="M125" s="524"/>
      <c r="N125" s="524"/>
      <c r="O125" s="524"/>
      <c r="P125" s="524"/>
      <c r="Q125" s="524"/>
      <c r="R125" s="524"/>
      <c r="S125" s="524"/>
      <c r="T125" s="524"/>
      <c r="U125" s="524"/>
      <c r="V125" s="524"/>
    </row>
    <row r="126" spans="1:22">
      <c r="A126" s="524"/>
      <c r="B126" s="524"/>
      <c r="C126" s="524"/>
      <c r="D126" s="524"/>
      <c r="E126" s="524"/>
      <c r="F126" s="524"/>
      <c r="G126" s="524"/>
      <c r="H126" s="524"/>
      <c r="I126" s="524"/>
      <c r="J126" s="524"/>
      <c r="K126" s="524"/>
      <c r="L126" s="524"/>
      <c r="M126" s="524"/>
      <c r="N126" s="524"/>
      <c r="O126" s="524"/>
      <c r="P126" s="524"/>
      <c r="Q126" s="524"/>
      <c r="R126" s="524"/>
      <c r="S126" s="524"/>
      <c r="T126" s="524"/>
      <c r="U126" s="524"/>
      <c r="V126" s="524"/>
    </row>
    <row r="127" spans="1:22">
      <c r="A127" s="524"/>
      <c r="B127" s="524"/>
      <c r="C127" s="524"/>
      <c r="D127" s="524"/>
      <c r="E127" s="524"/>
      <c r="F127" s="524"/>
      <c r="G127" s="524"/>
      <c r="H127" s="524"/>
      <c r="I127" s="524"/>
      <c r="J127" s="524"/>
      <c r="K127" s="524"/>
      <c r="L127" s="524"/>
      <c r="M127" s="524"/>
      <c r="N127" s="524"/>
      <c r="O127" s="524"/>
      <c r="P127" s="524"/>
      <c r="Q127" s="524"/>
      <c r="R127" s="524"/>
      <c r="S127" s="524"/>
      <c r="T127" s="524"/>
      <c r="U127" s="524"/>
      <c r="V127" s="524"/>
    </row>
    <row r="128" spans="1:22">
      <c r="A128" s="524"/>
      <c r="B128" s="524"/>
      <c r="C128" s="524"/>
      <c r="D128" s="524"/>
      <c r="E128" s="524"/>
      <c r="F128" s="524"/>
      <c r="G128" s="524"/>
      <c r="H128" s="524"/>
      <c r="I128" s="524"/>
      <c r="J128" s="524"/>
      <c r="K128" s="524"/>
      <c r="L128" s="524"/>
      <c r="M128" s="524"/>
      <c r="N128" s="524"/>
      <c r="O128" s="524"/>
      <c r="P128" s="524"/>
      <c r="Q128" s="524"/>
      <c r="R128" s="524"/>
      <c r="S128" s="524"/>
      <c r="T128" s="524"/>
      <c r="U128" s="524"/>
      <c r="V128" s="524"/>
    </row>
    <row r="129" spans="1:22">
      <c r="A129" s="524"/>
      <c r="B129" s="524"/>
      <c r="C129" s="524"/>
      <c r="D129" s="524"/>
      <c r="E129" s="524"/>
      <c r="F129" s="524"/>
      <c r="G129" s="524"/>
      <c r="H129" s="524"/>
      <c r="I129" s="524"/>
      <c r="J129" s="524"/>
      <c r="K129" s="524"/>
      <c r="L129" s="524"/>
      <c r="M129" s="524"/>
      <c r="N129" s="524"/>
      <c r="O129" s="524"/>
      <c r="P129" s="524"/>
      <c r="Q129" s="524"/>
      <c r="R129" s="524"/>
      <c r="S129" s="524"/>
      <c r="T129" s="524"/>
      <c r="U129" s="524"/>
      <c r="V129" s="524"/>
    </row>
    <row r="130" spans="1:22">
      <c r="A130" s="524"/>
      <c r="B130" s="524"/>
      <c r="C130" s="524"/>
      <c r="D130" s="524"/>
      <c r="E130" s="524"/>
      <c r="F130" s="524"/>
      <c r="G130" s="524"/>
      <c r="H130" s="524"/>
      <c r="I130" s="524"/>
      <c r="J130" s="524"/>
      <c r="K130" s="524"/>
      <c r="L130" s="524"/>
      <c r="M130" s="524"/>
      <c r="N130" s="524"/>
      <c r="O130" s="524"/>
      <c r="P130" s="524"/>
      <c r="Q130" s="524"/>
      <c r="R130" s="524"/>
      <c r="S130" s="524"/>
      <c r="T130" s="524"/>
      <c r="U130" s="524"/>
      <c r="V130" s="524"/>
    </row>
    <row r="131" spans="1:22">
      <c r="A131" s="524"/>
      <c r="B131" s="524"/>
      <c r="C131" s="524"/>
      <c r="D131" s="524"/>
      <c r="E131" s="524"/>
      <c r="F131" s="524"/>
      <c r="G131" s="524"/>
      <c r="H131" s="524"/>
      <c r="I131" s="524"/>
      <c r="J131" s="524"/>
      <c r="K131" s="524"/>
      <c r="L131" s="524"/>
      <c r="M131" s="524"/>
      <c r="N131" s="524"/>
      <c r="O131" s="524"/>
      <c r="P131" s="524"/>
      <c r="Q131" s="524"/>
      <c r="R131" s="524"/>
      <c r="S131" s="524"/>
      <c r="T131" s="524"/>
      <c r="U131" s="524"/>
      <c r="V131" s="524"/>
    </row>
    <row r="132" spans="1:22">
      <c r="A132" s="524"/>
      <c r="B132" s="524"/>
      <c r="C132" s="524"/>
      <c r="D132" s="524"/>
      <c r="E132" s="524"/>
      <c r="F132" s="524"/>
      <c r="G132" s="524"/>
      <c r="H132" s="524"/>
      <c r="I132" s="524"/>
      <c r="J132" s="524"/>
      <c r="K132" s="524"/>
      <c r="L132" s="524"/>
      <c r="M132" s="524"/>
      <c r="N132" s="524"/>
      <c r="O132" s="524"/>
      <c r="P132" s="524"/>
      <c r="Q132" s="524"/>
      <c r="R132" s="524"/>
      <c r="S132" s="524"/>
      <c r="T132" s="524"/>
      <c r="U132" s="524"/>
      <c r="V132" s="524"/>
    </row>
    <row r="133" spans="1:22">
      <c r="A133" s="524"/>
      <c r="B133" s="524"/>
      <c r="C133" s="524"/>
      <c r="D133" s="524"/>
      <c r="E133" s="524"/>
      <c r="F133" s="524"/>
      <c r="G133" s="524"/>
      <c r="H133" s="524"/>
      <c r="I133" s="524"/>
      <c r="J133" s="524"/>
      <c r="K133" s="524"/>
      <c r="L133" s="524"/>
      <c r="M133" s="524"/>
      <c r="N133" s="524"/>
      <c r="O133" s="524"/>
      <c r="P133" s="524"/>
      <c r="Q133" s="524"/>
      <c r="R133" s="524"/>
      <c r="S133" s="524"/>
      <c r="T133" s="524"/>
      <c r="U133" s="524"/>
      <c r="V133" s="524"/>
    </row>
    <row r="134" spans="1:22">
      <c r="A134" s="524"/>
      <c r="B134" s="524"/>
      <c r="C134" s="524"/>
      <c r="D134" s="524"/>
      <c r="E134" s="524"/>
      <c r="F134" s="524"/>
      <c r="G134" s="524"/>
      <c r="H134" s="524"/>
      <c r="I134" s="524"/>
      <c r="J134" s="524"/>
      <c r="K134" s="524"/>
      <c r="L134" s="524"/>
      <c r="M134" s="524"/>
      <c r="N134" s="524"/>
      <c r="O134" s="524"/>
      <c r="P134" s="524"/>
      <c r="Q134" s="524"/>
      <c r="R134" s="524"/>
      <c r="S134" s="524"/>
      <c r="T134" s="524"/>
      <c r="U134" s="524"/>
      <c r="V134" s="524"/>
    </row>
    <row r="135" spans="1:22">
      <c r="A135" s="524"/>
      <c r="B135" s="524"/>
      <c r="C135" s="524"/>
      <c r="D135" s="524"/>
      <c r="E135" s="524"/>
      <c r="F135" s="524"/>
      <c r="G135" s="524"/>
      <c r="H135" s="524"/>
      <c r="I135" s="524"/>
      <c r="J135" s="524"/>
      <c r="K135" s="524"/>
      <c r="L135" s="524"/>
      <c r="M135" s="524"/>
      <c r="N135" s="524"/>
      <c r="O135" s="524"/>
      <c r="P135" s="524"/>
      <c r="Q135" s="524"/>
      <c r="R135" s="524"/>
      <c r="S135" s="524"/>
      <c r="T135" s="524"/>
      <c r="U135" s="524"/>
      <c r="V135" s="524"/>
    </row>
    <row r="136" spans="1:22">
      <c r="A136" s="524"/>
      <c r="B136" s="524"/>
      <c r="C136" s="524"/>
      <c r="D136" s="524"/>
      <c r="E136" s="524"/>
      <c r="F136" s="524"/>
      <c r="G136" s="524"/>
      <c r="H136" s="524"/>
      <c r="I136" s="524"/>
      <c r="J136" s="524"/>
      <c r="K136" s="524"/>
      <c r="L136" s="524"/>
      <c r="M136" s="524"/>
      <c r="N136" s="524"/>
      <c r="O136" s="524"/>
      <c r="P136" s="524"/>
      <c r="Q136" s="524"/>
      <c r="R136" s="524"/>
      <c r="S136" s="524"/>
      <c r="T136" s="524"/>
      <c r="U136" s="524"/>
      <c r="V136" s="524"/>
    </row>
    <row r="137" spans="1:22">
      <c r="A137" s="524"/>
      <c r="B137" s="524"/>
      <c r="C137" s="524"/>
      <c r="D137" s="524"/>
      <c r="E137" s="524"/>
      <c r="F137" s="524"/>
      <c r="G137" s="524"/>
      <c r="H137" s="524"/>
      <c r="I137" s="524"/>
      <c r="J137" s="524"/>
      <c r="K137" s="524"/>
      <c r="L137" s="524"/>
      <c r="M137" s="524"/>
      <c r="N137" s="524"/>
      <c r="O137" s="524"/>
      <c r="P137" s="524"/>
      <c r="Q137" s="524"/>
      <c r="R137" s="524"/>
      <c r="S137" s="524"/>
      <c r="T137" s="524"/>
      <c r="U137" s="524"/>
      <c r="V137" s="524"/>
    </row>
    <row r="138" spans="1:22" ht="12.75" customHeight="1">
      <c r="A138" s="524"/>
      <c r="B138" s="524"/>
      <c r="C138" s="524"/>
      <c r="D138" s="524"/>
      <c r="E138" s="524"/>
      <c r="F138" s="524"/>
      <c r="G138" s="524"/>
      <c r="H138" s="524"/>
      <c r="I138" s="524"/>
      <c r="J138" s="524"/>
      <c r="K138" s="524"/>
      <c r="L138" s="524"/>
      <c r="M138" s="524"/>
      <c r="N138" s="524"/>
      <c r="O138" s="524"/>
      <c r="P138" s="524"/>
      <c r="Q138" s="524"/>
      <c r="R138" s="524"/>
      <c r="S138" s="524"/>
      <c r="T138" s="524"/>
      <c r="U138" s="524"/>
      <c r="V138" s="524"/>
    </row>
    <row r="139" spans="1:22" ht="12.75" customHeight="1">
      <c r="A139" s="524"/>
      <c r="B139" s="524"/>
      <c r="C139" s="524"/>
      <c r="D139" s="524"/>
      <c r="E139" s="524"/>
      <c r="F139" s="524"/>
      <c r="G139" s="524"/>
      <c r="H139" s="524"/>
      <c r="I139" s="524"/>
      <c r="J139" s="524"/>
      <c r="K139" s="524"/>
      <c r="L139" s="524"/>
      <c r="M139" s="524"/>
      <c r="N139" s="524"/>
      <c r="O139" s="524"/>
      <c r="P139" s="524"/>
      <c r="Q139" s="524"/>
      <c r="R139" s="524"/>
      <c r="S139" s="524"/>
      <c r="T139" s="524"/>
      <c r="U139" s="524"/>
      <c r="V139" s="524"/>
    </row>
    <row r="140" spans="1:22" ht="12.75" customHeight="1">
      <c r="A140" s="524"/>
      <c r="B140" s="524"/>
      <c r="C140" s="524"/>
      <c r="D140" s="524"/>
      <c r="E140" s="524"/>
      <c r="F140" s="524"/>
      <c r="G140" s="524"/>
      <c r="H140" s="524"/>
      <c r="I140" s="524"/>
      <c r="J140" s="524"/>
      <c r="K140" s="524"/>
      <c r="L140" s="524"/>
      <c r="M140" s="524"/>
      <c r="N140" s="524"/>
      <c r="O140" s="524"/>
      <c r="P140" s="524"/>
      <c r="Q140" s="524"/>
      <c r="R140" s="524"/>
      <c r="S140" s="524"/>
      <c r="T140" s="524"/>
      <c r="U140" s="524"/>
      <c r="V140" s="524"/>
    </row>
    <row r="141" spans="1:22">
      <c r="A141" s="524"/>
      <c r="B141" s="524"/>
      <c r="C141" s="524"/>
      <c r="D141" s="524"/>
      <c r="E141" s="524"/>
      <c r="F141" s="524"/>
      <c r="G141" s="524"/>
      <c r="H141" s="524"/>
      <c r="I141" s="524"/>
      <c r="J141" s="524"/>
      <c r="K141" s="524"/>
      <c r="L141" s="524"/>
      <c r="M141" s="524"/>
      <c r="N141" s="524"/>
      <c r="O141" s="524"/>
      <c r="P141" s="524"/>
      <c r="Q141" s="524"/>
      <c r="R141" s="524"/>
      <c r="S141" s="524"/>
      <c r="T141" s="524"/>
      <c r="U141" s="524"/>
      <c r="V141" s="524"/>
    </row>
    <row r="142" spans="1:22">
      <c r="A142" s="524"/>
      <c r="B142" s="524"/>
      <c r="C142" s="524"/>
      <c r="D142" s="524"/>
      <c r="E142" s="524"/>
      <c r="F142" s="524"/>
      <c r="G142" s="524"/>
      <c r="H142" s="524"/>
      <c r="I142" s="524"/>
      <c r="J142" s="524"/>
      <c r="K142" s="524"/>
      <c r="L142" s="524"/>
      <c r="M142" s="524"/>
      <c r="N142" s="524"/>
      <c r="O142" s="524"/>
      <c r="P142" s="524"/>
      <c r="Q142" s="524"/>
      <c r="R142" s="524"/>
      <c r="S142" s="524"/>
      <c r="T142" s="524"/>
      <c r="U142" s="524"/>
      <c r="V142" s="524"/>
    </row>
    <row r="143" spans="1:22">
      <c r="A143" s="524"/>
      <c r="B143" s="524"/>
      <c r="C143" s="524"/>
      <c r="D143" s="524"/>
      <c r="E143" s="524"/>
      <c r="F143" s="524"/>
      <c r="G143" s="524"/>
      <c r="H143" s="524"/>
      <c r="I143" s="524"/>
      <c r="J143" s="524"/>
      <c r="K143" s="524"/>
      <c r="L143" s="524"/>
      <c r="M143" s="524"/>
      <c r="N143" s="524"/>
      <c r="O143" s="524"/>
      <c r="P143" s="524"/>
      <c r="Q143" s="524"/>
      <c r="R143" s="524"/>
      <c r="S143" s="524"/>
      <c r="T143" s="524"/>
      <c r="U143" s="524"/>
      <c r="V143" s="524"/>
    </row>
    <row r="144" spans="1:22">
      <c r="A144" s="524"/>
      <c r="B144" s="524"/>
      <c r="C144" s="524"/>
      <c r="D144" s="524"/>
      <c r="E144" s="524"/>
      <c r="F144" s="524"/>
      <c r="G144" s="524"/>
      <c r="H144" s="524"/>
      <c r="I144" s="524"/>
      <c r="J144" s="524"/>
      <c r="K144" s="524"/>
      <c r="L144" s="524"/>
      <c r="M144" s="524"/>
      <c r="N144" s="524"/>
      <c r="O144" s="524"/>
      <c r="P144" s="524"/>
      <c r="Q144" s="524"/>
      <c r="R144" s="524"/>
      <c r="S144" s="524"/>
      <c r="T144" s="524"/>
      <c r="U144" s="524"/>
      <c r="V144" s="524"/>
    </row>
    <row r="145" spans="1:22">
      <c r="A145" s="524"/>
      <c r="B145" s="524"/>
      <c r="C145" s="524"/>
      <c r="D145" s="524"/>
      <c r="E145" s="524"/>
      <c r="F145" s="524"/>
      <c r="G145" s="524"/>
      <c r="H145" s="524"/>
      <c r="I145" s="524"/>
      <c r="J145" s="524"/>
      <c r="K145" s="524"/>
      <c r="L145" s="524"/>
      <c r="M145" s="524"/>
      <c r="N145" s="524"/>
      <c r="O145" s="524"/>
      <c r="P145" s="524"/>
      <c r="Q145" s="524"/>
      <c r="R145" s="524"/>
      <c r="S145" s="524"/>
      <c r="T145" s="524"/>
      <c r="U145" s="524"/>
      <c r="V145" s="524"/>
    </row>
    <row r="146" spans="1:22">
      <c r="A146" s="524"/>
      <c r="B146" s="524"/>
      <c r="C146" s="524"/>
      <c r="D146" s="524"/>
      <c r="E146" s="524"/>
      <c r="F146" s="524"/>
      <c r="G146" s="524"/>
      <c r="H146" s="524"/>
      <c r="I146" s="524"/>
      <c r="J146" s="524"/>
      <c r="K146" s="524"/>
      <c r="L146" s="524"/>
      <c r="M146" s="524"/>
      <c r="N146" s="524"/>
      <c r="O146" s="524"/>
      <c r="P146" s="524"/>
      <c r="Q146" s="524"/>
      <c r="R146" s="524"/>
      <c r="S146" s="524"/>
      <c r="T146" s="524"/>
      <c r="U146" s="524"/>
      <c r="V146" s="524"/>
    </row>
    <row r="147" spans="1:22">
      <c r="A147" s="524"/>
      <c r="B147" s="524"/>
      <c r="C147" s="524"/>
      <c r="D147" s="524"/>
      <c r="E147" s="524"/>
      <c r="F147" s="524"/>
      <c r="G147" s="524"/>
      <c r="H147" s="524"/>
      <c r="I147" s="524"/>
      <c r="J147" s="524"/>
      <c r="K147" s="524"/>
      <c r="L147" s="524"/>
      <c r="M147" s="524"/>
      <c r="N147" s="524"/>
      <c r="O147" s="524"/>
      <c r="P147" s="524"/>
      <c r="Q147" s="524"/>
      <c r="R147" s="524"/>
      <c r="S147" s="524"/>
      <c r="T147" s="524"/>
      <c r="U147" s="524"/>
      <c r="V147" s="524"/>
    </row>
    <row r="148" spans="1:22">
      <c r="A148" s="524"/>
      <c r="B148" s="524"/>
      <c r="C148" s="524"/>
      <c r="D148" s="524"/>
      <c r="E148" s="524"/>
      <c r="F148" s="524"/>
      <c r="G148" s="524"/>
      <c r="H148" s="524"/>
      <c r="I148" s="524"/>
      <c r="J148" s="524"/>
      <c r="K148" s="524"/>
      <c r="L148" s="524"/>
      <c r="M148" s="524"/>
      <c r="N148" s="524"/>
      <c r="O148" s="524"/>
      <c r="P148" s="524"/>
      <c r="Q148" s="524"/>
      <c r="R148" s="524"/>
      <c r="S148" s="524"/>
      <c r="T148" s="524"/>
      <c r="U148" s="524"/>
      <c r="V148" s="524"/>
    </row>
    <row r="149" spans="1:22">
      <c r="A149" s="524"/>
      <c r="B149" s="524"/>
      <c r="C149" s="524"/>
      <c r="D149" s="524"/>
      <c r="E149" s="524"/>
      <c r="F149" s="524"/>
      <c r="G149" s="524"/>
      <c r="H149" s="524"/>
      <c r="I149" s="524"/>
      <c r="J149" s="524"/>
      <c r="K149" s="524"/>
      <c r="L149" s="524"/>
      <c r="M149" s="524"/>
      <c r="N149" s="524"/>
      <c r="O149" s="524"/>
      <c r="P149" s="524"/>
      <c r="Q149" s="524"/>
      <c r="R149" s="524"/>
      <c r="S149" s="524"/>
      <c r="T149" s="524"/>
      <c r="U149" s="524"/>
      <c r="V149" s="524"/>
    </row>
    <row r="150" spans="1:22">
      <c r="A150" s="524"/>
      <c r="B150" s="524"/>
      <c r="C150" s="524"/>
      <c r="D150" s="524"/>
      <c r="E150" s="524"/>
      <c r="F150" s="524"/>
      <c r="G150" s="524"/>
      <c r="H150" s="524"/>
      <c r="I150" s="524"/>
      <c r="J150" s="524"/>
      <c r="K150" s="524"/>
      <c r="L150" s="524"/>
      <c r="M150" s="524"/>
      <c r="N150" s="524"/>
      <c r="O150" s="524"/>
      <c r="P150" s="524"/>
      <c r="Q150" s="524"/>
      <c r="R150" s="524"/>
      <c r="S150" s="524"/>
      <c r="T150" s="524"/>
      <c r="U150" s="524"/>
      <c r="V150" s="524"/>
    </row>
    <row r="151" spans="1:22">
      <c r="A151" s="524"/>
      <c r="B151" s="524"/>
      <c r="C151" s="524"/>
      <c r="D151" s="524"/>
      <c r="E151" s="524"/>
      <c r="F151" s="524"/>
      <c r="G151" s="524"/>
      <c r="H151" s="524"/>
      <c r="I151" s="524"/>
      <c r="J151" s="524"/>
      <c r="K151" s="524"/>
      <c r="L151" s="524"/>
      <c r="M151" s="524"/>
      <c r="N151" s="524"/>
      <c r="O151" s="524"/>
      <c r="P151" s="524"/>
      <c r="Q151" s="524"/>
      <c r="R151" s="524"/>
      <c r="S151" s="524"/>
      <c r="T151" s="524"/>
      <c r="U151" s="524"/>
      <c r="V151" s="524"/>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9" zoomScale="75" workbookViewId="0">
      <selection activeCell="D67" sqref="D6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row>
    <row r="2" spans="1:11" ht="15.75">
      <c r="A2" s="1006"/>
    </row>
    <row r="3" spans="1:11">
      <c r="A3" s="1482" t="str">
        <f>TCOS!$F$5</f>
        <v>AEPTCo subsidiaries in PJM</v>
      </c>
      <c r="B3" s="1482" t="str">
        <f>TCOS!$F$5</f>
        <v>AEPTCo subsidiaries in PJM</v>
      </c>
      <c r="C3" s="1482" t="str">
        <f>TCOS!$F$5</f>
        <v>AEPTCo subsidiaries in PJM</v>
      </c>
      <c r="D3" s="1482" t="str">
        <f>TCOS!$F$5</f>
        <v>AEPTCo subsidiaries in PJM</v>
      </c>
      <c r="E3" s="1482" t="str">
        <f>TCOS!$F$5</f>
        <v>AEPTCo subsidiaries in PJM</v>
      </c>
      <c r="F3" s="1482" t="str">
        <f>TCOS!$F$5</f>
        <v>AEPTCo subsidiaries in PJM</v>
      </c>
      <c r="G3" s="1482" t="str">
        <f>TCOS!$F$5</f>
        <v>AEPTCo subsidiaries in PJM</v>
      </c>
      <c r="H3" s="21"/>
    </row>
    <row r="4" spans="1:11" ht="12.75" customHeight="1">
      <c r="A4" s="1475" t="str">
        <f>"Cost of Service Formula Rate Using Actual/Projected FF1 Balances"</f>
        <v>Cost of Service Formula Rate Using Actual/Projected FF1 Balances</v>
      </c>
      <c r="B4" s="1475"/>
      <c r="C4" s="1475"/>
      <c r="D4" s="1475"/>
      <c r="E4" s="1475"/>
      <c r="F4" s="1475"/>
      <c r="G4" s="1475"/>
      <c r="H4" s="52"/>
      <c r="I4" s="52"/>
      <c r="J4" s="52"/>
      <c r="K4" s="52"/>
    </row>
    <row r="5" spans="1:11" ht="12.75" customHeight="1">
      <c r="A5" s="1475" t="s">
        <v>278</v>
      </c>
      <c r="B5" s="1475"/>
      <c r="C5" s="1475"/>
      <c r="D5" s="1475"/>
      <c r="E5" s="1475"/>
      <c r="F5" s="1475"/>
      <c r="G5" s="1475"/>
    </row>
    <row r="6" spans="1:11" ht="12.75" customHeight="1">
      <c r="A6" s="1485" t="str">
        <f>TCOS!F9</f>
        <v>West Virginia Transmission Company</v>
      </c>
      <c r="B6" s="1485"/>
      <c r="C6" s="1485"/>
      <c r="D6" s="1485"/>
      <c r="E6" s="1485"/>
      <c r="F6" s="1485"/>
      <c r="G6" s="1485"/>
    </row>
    <row r="7" spans="1:11" ht="12.75" customHeight="1">
      <c r="A7" s="1482"/>
      <c r="B7" s="1482"/>
      <c r="C7" s="1482"/>
      <c r="D7" s="1482"/>
      <c r="E7" s="1482"/>
      <c r="F7" s="1482"/>
      <c r="G7" s="25"/>
    </row>
    <row r="8" spans="1:11" ht="18">
      <c r="A8" s="1516"/>
      <c r="B8" s="1516"/>
      <c r="C8" s="1516"/>
      <c r="D8" s="1516"/>
      <c r="E8" s="1516"/>
      <c r="F8" s="1516"/>
      <c r="G8" s="1516"/>
    </row>
    <row r="9" spans="1:11" ht="18">
      <c r="A9" s="81"/>
      <c r="B9" s="81"/>
      <c r="C9" s="81"/>
      <c r="D9" s="81"/>
      <c r="E9" s="81"/>
      <c r="F9" s="81"/>
      <c r="G9" s="81"/>
    </row>
    <row r="10" spans="1:11" ht="15.75">
      <c r="B10" s="19" t="s">
        <v>452</v>
      </c>
      <c r="C10" s="19" t="s">
        <v>453</v>
      </c>
      <c r="D10" s="19" t="s">
        <v>454</v>
      </c>
      <c r="E10" s="19" t="s">
        <v>455</v>
      </c>
      <c r="F10" s="19" t="s">
        <v>375</v>
      </c>
      <c r="G10" s="19" t="s">
        <v>376</v>
      </c>
    </row>
    <row r="11" spans="1:11" ht="15.75">
      <c r="B11" s="30"/>
      <c r="C11" s="25"/>
      <c r="D11" s="93"/>
      <c r="E11" s="94"/>
      <c r="F11" s="95" t="s">
        <v>378</v>
      </c>
      <c r="G11" s="19"/>
    </row>
    <row r="12" spans="1:11" ht="15.75">
      <c r="A12" s="33" t="s">
        <v>459</v>
      </c>
      <c r="B12" s="30"/>
      <c r="C12" s="39"/>
      <c r="D12" s="33">
        <f>+TCOS!L4</f>
        <v>2025</v>
      </c>
      <c r="E12" s="95" t="s">
        <v>378</v>
      </c>
      <c r="F12" s="33" t="s">
        <v>407</v>
      </c>
      <c r="G12" s="19"/>
    </row>
    <row r="13" spans="1:11" ht="15.75">
      <c r="A13" s="33" t="s">
        <v>397</v>
      </c>
      <c r="B13" s="33" t="s">
        <v>360</v>
      </c>
      <c r="C13" s="33" t="s">
        <v>457</v>
      </c>
      <c r="D13" s="33" t="s">
        <v>361</v>
      </c>
      <c r="E13" s="33" t="s">
        <v>380</v>
      </c>
      <c r="F13" s="33" t="s">
        <v>362</v>
      </c>
      <c r="G13" s="33" t="s">
        <v>363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70"/>
      <c r="C18" s="560"/>
      <c r="D18" s="559"/>
      <c r="E18" s="48"/>
      <c r="F18" s="48"/>
      <c r="G18" s="22"/>
    </row>
    <row r="19" spans="1:7">
      <c r="A19" s="32">
        <f>+A18+1</f>
        <v>2</v>
      </c>
      <c r="B19" s="971"/>
      <c r="C19" s="972"/>
      <c r="D19" s="559"/>
      <c r="E19" s="48"/>
      <c r="F19" s="48"/>
      <c r="G19" s="22"/>
    </row>
    <row r="20" spans="1:7" ht="15.75">
      <c r="A20" s="32">
        <f>+A19+1</f>
        <v>3</v>
      </c>
      <c r="B20" s="973"/>
      <c r="C20" s="560"/>
      <c r="D20" s="559"/>
      <c r="E20" s="48"/>
      <c r="F20" s="48"/>
      <c r="G20" s="22"/>
    </row>
    <row r="21" spans="1:7" ht="15.75">
      <c r="A21" s="32">
        <f>+A20+1</f>
        <v>4</v>
      </c>
      <c r="B21" s="33"/>
      <c r="C21" s="107" t="s">
        <v>410</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7"/>
      <c r="E24" s="23"/>
      <c r="F24" s="23"/>
      <c r="G24" s="33"/>
    </row>
    <row r="25" spans="1:7" ht="15.75">
      <c r="A25" s="137">
        <f>+A24+1</f>
        <v>6</v>
      </c>
      <c r="B25" s="138" t="s">
        <v>177</v>
      </c>
      <c r="C25" s="138" t="s">
        <v>174</v>
      </c>
      <c r="D25" s="559">
        <v>0</v>
      </c>
      <c r="E25" s="23"/>
      <c r="F25" s="23"/>
      <c r="G25" s="33"/>
    </row>
    <row r="26" spans="1:7" ht="15.75">
      <c r="A26" s="32">
        <f>+A25+1</f>
        <v>7</v>
      </c>
      <c r="B26" s="136" t="s">
        <v>178</v>
      </c>
      <c r="C26" s="136" t="s">
        <v>175</v>
      </c>
      <c r="D26" s="559">
        <v>1755848.699208197</v>
      </c>
      <c r="E26" s="23"/>
      <c r="F26" s="23"/>
      <c r="G26" s="33"/>
    </row>
    <row r="27" spans="1:7" ht="15.75">
      <c r="A27" s="137">
        <f t="shared" ref="A27:A32" si="0">+A26+1</f>
        <v>8</v>
      </c>
      <c r="B27" s="138" t="s">
        <v>179</v>
      </c>
      <c r="C27" s="138" t="s">
        <v>176</v>
      </c>
      <c r="D27" s="559">
        <v>0</v>
      </c>
      <c r="E27" s="23"/>
      <c r="F27" s="23"/>
      <c r="G27" s="33"/>
    </row>
    <row r="28" spans="1:7" ht="15.75">
      <c r="A28" s="32">
        <f t="shared" si="0"/>
        <v>9</v>
      </c>
      <c r="B28" s="136" t="s">
        <v>180</v>
      </c>
      <c r="C28" s="136" t="s">
        <v>184</v>
      </c>
      <c r="D28" s="559">
        <v>0</v>
      </c>
      <c r="E28" s="23"/>
      <c r="F28" s="23"/>
      <c r="G28" s="33"/>
    </row>
    <row r="29" spans="1:7" ht="15.75">
      <c r="A29" s="137">
        <f t="shared" si="0"/>
        <v>10</v>
      </c>
      <c r="B29" s="138" t="s">
        <v>181</v>
      </c>
      <c r="C29" s="138" t="s">
        <v>187</v>
      </c>
      <c r="D29" s="559">
        <v>342912.41472394275</v>
      </c>
      <c r="E29" s="23"/>
      <c r="F29" s="23"/>
      <c r="G29" s="33"/>
    </row>
    <row r="30" spans="1:7" ht="15.75">
      <c r="A30" s="32">
        <f t="shared" si="0"/>
        <v>11</v>
      </c>
      <c r="B30" s="136" t="s">
        <v>182</v>
      </c>
      <c r="C30" s="136" t="s">
        <v>188</v>
      </c>
      <c r="D30" s="559">
        <v>0</v>
      </c>
      <c r="E30" s="23"/>
      <c r="F30" s="23"/>
      <c r="G30" s="33"/>
    </row>
    <row r="31" spans="1:7" ht="15.75">
      <c r="A31" s="137">
        <f t="shared" si="0"/>
        <v>12</v>
      </c>
      <c r="B31" s="138" t="s">
        <v>183</v>
      </c>
      <c r="C31" s="138" t="s">
        <v>189</v>
      </c>
      <c r="D31" s="559">
        <v>0</v>
      </c>
      <c r="E31" s="23"/>
      <c r="F31" s="23"/>
      <c r="G31" s="33"/>
    </row>
    <row r="32" spans="1:7" ht="15.75">
      <c r="A32" s="32">
        <f t="shared" si="0"/>
        <v>13</v>
      </c>
      <c r="B32" s="136" t="s">
        <v>185</v>
      </c>
      <c r="C32" s="136" t="s">
        <v>190</v>
      </c>
      <c r="D32" s="559">
        <v>0</v>
      </c>
      <c r="E32" s="23"/>
      <c r="F32" s="23"/>
      <c r="G32" s="33"/>
    </row>
    <row r="33" spans="1:19" ht="15.75">
      <c r="A33" s="137">
        <f>+A32+1</f>
        <v>14</v>
      </c>
      <c r="B33" s="138"/>
      <c r="C33" s="19" t="s">
        <v>186</v>
      </c>
      <c r="D33" s="41">
        <f>SUM(D24:D32)</f>
        <v>2098761.1139321397</v>
      </c>
      <c r="E33" s="33"/>
      <c r="F33" s="33"/>
      <c r="G33" s="33"/>
    </row>
    <row r="34" spans="1:19" ht="15.75">
      <c r="A34" s="106"/>
      <c r="B34" s="47"/>
      <c r="C34" s="33"/>
      <c r="D34" s="33"/>
      <c r="E34" s="33"/>
      <c r="F34" s="33"/>
      <c r="G34" s="33"/>
    </row>
    <row r="35" spans="1:19" ht="15.75">
      <c r="A35" s="106"/>
      <c r="B35" s="32"/>
      <c r="C35" s="55" t="s">
        <v>494</v>
      </c>
      <c r="D35" s="25"/>
      <c r="E35" s="25"/>
      <c r="F35" s="25"/>
      <c r="G35" s="25"/>
    </row>
    <row r="36" spans="1:19">
      <c r="A36" s="32">
        <f>+A33+1</f>
        <v>15</v>
      </c>
      <c r="B36" s="970" t="s">
        <v>924</v>
      </c>
      <c r="C36" s="1399" t="s">
        <v>925</v>
      </c>
      <c r="D36" s="559">
        <v>0</v>
      </c>
      <c r="E36" s="1257">
        <v>0</v>
      </c>
      <c r="F36" s="1257">
        <v>0</v>
      </c>
      <c r="G36" s="22"/>
    </row>
    <row r="37" spans="1:19">
      <c r="A37" s="32">
        <f>+A36+1</f>
        <v>16</v>
      </c>
      <c r="B37" s="970" t="s">
        <v>926</v>
      </c>
      <c r="C37" s="1399" t="s">
        <v>927</v>
      </c>
      <c r="D37" s="559">
        <v>0</v>
      </c>
      <c r="E37" s="1257">
        <v>0</v>
      </c>
      <c r="F37" s="1257">
        <v>0</v>
      </c>
      <c r="G37" s="22"/>
    </row>
    <row r="38" spans="1:19">
      <c r="A38" s="32">
        <f>+A37+1</f>
        <v>17</v>
      </c>
      <c r="B38" s="970" t="s">
        <v>928</v>
      </c>
      <c r="C38" s="1399" t="s">
        <v>929</v>
      </c>
      <c r="D38" s="559">
        <v>0</v>
      </c>
      <c r="E38" s="1257">
        <v>0</v>
      </c>
      <c r="F38" s="1257">
        <v>0</v>
      </c>
      <c r="G38" s="22"/>
    </row>
    <row r="39" spans="1:19">
      <c r="A39" s="32">
        <f>+A38+1</f>
        <v>18</v>
      </c>
      <c r="B39" s="970" t="s">
        <v>930</v>
      </c>
      <c r="C39" s="1399" t="s">
        <v>931</v>
      </c>
      <c r="D39" s="559">
        <v>0</v>
      </c>
      <c r="E39" s="1257">
        <v>0</v>
      </c>
      <c r="F39" s="1257">
        <v>0</v>
      </c>
      <c r="G39" s="50"/>
    </row>
    <row r="40" spans="1:19">
      <c r="A40" s="32">
        <f>+A39+1</f>
        <v>19</v>
      </c>
      <c r="B40" s="970"/>
      <c r="C40" s="560"/>
      <c r="D40" s="559"/>
      <c r="E40" s="1257"/>
      <c r="F40" s="1257"/>
      <c r="G40" s="50"/>
    </row>
    <row r="41" spans="1:19">
      <c r="A41" s="32">
        <f>+A40+1</f>
        <v>20</v>
      </c>
      <c r="B41" s="970"/>
      <c r="C41" s="560"/>
      <c r="D41" s="559"/>
      <c r="E41" s="23">
        <f t="shared" ref="E41" si="1">+D41</f>
        <v>0</v>
      </c>
      <c r="F41" s="23">
        <v>0</v>
      </c>
      <c r="G41" s="50"/>
    </row>
    <row r="42" spans="1:19">
      <c r="A42" s="32"/>
      <c r="B42" s="54"/>
      <c r="C42" s="43"/>
      <c r="D42" s="23"/>
      <c r="E42" s="23"/>
      <c r="F42" s="23"/>
      <c r="G42" s="22"/>
    </row>
    <row r="43" spans="1:19" ht="12.75" customHeight="1">
      <c r="A43" s="32"/>
      <c r="B43" s="24" t="s">
        <v>406</v>
      </c>
      <c r="C43" s="43"/>
      <c r="D43" s="26"/>
      <c r="E43" s="27"/>
      <c r="F43" s="28"/>
      <c r="G43" s="25"/>
    </row>
    <row r="44" spans="1:19" ht="15.75" customHeight="1">
      <c r="A44" s="32">
        <f>+A41+1</f>
        <v>21</v>
      </c>
      <c r="B44" s="30"/>
      <c r="C44" s="1258" t="s">
        <v>630</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493</v>
      </c>
      <c r="D46" s="16"/>
      <c r="E46" s="16"/>
      <c r="F46" s="16"/>
      <c r="G46" s="25"/>
    </row>
    <row r="47" spans="1:19">
      <c r="A47" s="32">
        <f>+A44+1</f>
        <v>22</v>
      </c>
      <c r="B47" s="970" t="s">
        <v>932</v>
      </c>
      <c r="C47" s="560" t="s">
        <v>933</v>
      </c>
      <c r="D47" s="561">
        <v>0</v>
      </c>
      <c r="E47" s="1400">
        <v>0</v>
      </c>
      <c r="F47" s="1400">
        <v>0</v>
      </c>
      <c r="G47"/>
      <c r="M47" s="12"/>
      <c r="N47" s="44"/>
      <c r="O47" s="45"/>
      <c r="P47" s="45"/>
      <c r="Q47" s="45"/>
      <c r="R47" s="45"/>
      <c r="S47" s="14"/>
    </row>
    <row r="48" spans="1:19">
      <c r="A48" s="32">
        <f>+A47+1</f>
        <v>23</v>
      </c>
      <c r="B48" s="970" t="s">
        <v>934</v>
      </c>
      <c r="C48" s="560" t="s">
        <v>935</v>
      </c>
      <c r="D48" s="561">
        <v>0</v>
      </c>
      <c r="E48" s="1400">
        <v>0</v>
      </c>
      <c r="F48" s="1400">
        <v>0</v>
      </c>
      <c r="G48"/>
      <c r="M48" s="12"/>
      <c r="N48" s="44"/>
      <c r="O48" s="45"/>
      <c r="P48" s="45"/>
      <c r="Q48" s="45"/>
      <c r="R48" s="45"/>
      <c r="S48" s="14"/>
    </row>
    <row r="49" spans="1:19">
      <c r="A49" s="32">
        <f t="shared" ref="A49:A62" si="2">+A48+1</f>
        <v>24</v>
      </c>
      <c r="B49" s="970" t="s">
        <v>936</v>
      </c>
      <c r="C49" s="560" t="s">
        <v>937</v>
      </c>
      <c r="D49" s="561">
        <v>0</v>
      </c>
      <c r="E49" s="1400">
        <v>0</v>
      </c>
      <c r="F49" s="1400">
        <v>0</v>
      </c>
      <c r="G49"/>
      <c r="M49" s="12"/>
      <c r="N49" s="44"/>
      <c r="O49" s="45"/>
      <c r="P49" s="45"/>
      <c r="Q49" s="45"/>
      <c r="R49" s="45"/>
      <c r="S49" s="14"/>
    </row>
    <row r="50" spans="1:19">
      <c r="A50" s="32">
        <f t="shared" si="2"/>
        <v>25</v>
      </c>
      <c r="B50" s="970" t="s">
        <v>938</v>
      </c>
      <c r="C50" s="560" t="s">
        <v>939</v>
      </c>
      <c r="D50" s="561">
        <v>0</v>
      </c>
      <c r="E50" s="1400">
        <v>0</v>
      </c>
      <c r="F50" s="1400">
        <v>0</v>
      </c>
      <c r="G50"/>
      <c r="M50" s="12"/>
      <c r="N50" s="44"/>
      <c r="O50" s="45"/>
      <c r="P50" s="45"/>
      <c r="Q50" s="45"/>
      <c r="R50" s="45"/>
      <c r="S50" s="14"/>
    </row>
    <row r="51" spans="1:19">
      <c r="A51" s="32">
        <f t="shared" si="2"/>
        <v>26</v>
      </c>
      <c r="B51" s="970" t="s">
        <v>940</v>
      </c>
      <c r="C51" s="560" t="s">
        <v>941</v>
      </c>
      <c r="D51" s="561">
        <v>0</v>
      </c>
      <c r="E51" s="1400">
        <v>0</v>
      </c>
      <c r="F51" s="1400">
        <v>0</v>
      </c>
      <c r="G51"/>
      <c r="M51" s="12"/>
      <c r="N51" s="44"/>
      <c r="O51" s="45"/>
      <c r="P51" s="45"/>
      <c r="Q51" s="45"/>
      <c r="R51" s="45"/>
      <c r="S51" s="14"/>
    </row>
    <row r="52" spans="1:19">
      <c r="A52" s="32">
        <f t="shared" si="2"/>
        <v>27</v>
      </c>
      <c r="B52" s="970" t="s">
        <v>942</v>
      </c>
      <c r="C52" s="560" t="s">
        <v>943</v>
      </c>
      <c r="D52" s="561">
        <v>0</v>
      </c>
      <c r="E52" s="1400">
        <v>0</v>
      </c>
      <c r="F52" s="1400">
        <v>0</v>
      </c>
      <c r="G52"/>
      <c r="M52" s="12"/>
      <c r="N52" s="44"/>
      <c r="O52" s="45"/>
      <c r="P52" s="45"/>
      <c r="Q52" s="45"/>
      <c r="R52" s="45"/>
      <c r="S52" s="14"/>
    </row>
    <row r="53" spans="1:19">
      <c r="A53" s="32">
        <f t="shared" si="2"/>
        <v>28</v>
      </c>
      <c r="B53" s="970"/>
      <c r="C53" s="560"/>
      <c r="D53" s="561"/>
      <c r="E53" s="1400"/>
      <c r="F53" s="1400"/>
      <c r="G53"/>
      <c r="M53" s="12"/>
      <c r="N53" s="44"/>
      <c r="O53" s="45"/>
      <c r="P53" s="45"/>
      <c r="Q53" s="45"/>
      <c r="R53" s="45"/>
      <c r="S53" s="14"/>
    </row>
    <row r="54" spans="1:19">
      <c r="A54" s="32">
        <f t="shared" si="2"/>
        <v>29</v>
      </c>
      <c r="B54" s="970"/>
      <c r="C54" s="560"/>
      <c r="D54" s="561"/>
      <c r="E54" s="23"/>
      <c r="F54" s="23"/>
      <c r="G54"/>
      <c r="M54" s="12"/>
      <c r="N54" s="44"/>
      <c r="O54" s="45"/>
      <c r="P54" s="45"/>
      <c r="Q54" s="45"/>
      <c r="R54" s="45"/>
      <c r="S54" s="14"/>
    </row>
    <row r="55" spans="1:19">
      <c r="A55" s="32">
        <f t="shared" si="2"/>
        <v>30</v>
      </c>
      <c r="B55" s="970"/>
      <c r="C55" s="560"/>
      <c r="D55" s="561"/>
      <c r="E55" s="23"/>
      <c r="F55" s="23"/>
      <c r="G55"/>
      <c r="M55" s="12"/>
      <c r="N55" s="44"/>
      <c r="O55" s="45"/>
      <c r="P55" s="45"/>
      <c r="Q55" s="45"/>
      <c r="R55" s="45"/>
      <c r="S55" s="14"/>
    </row>
    <row r="56" spans="1:19">
      <c r="A56" s="32">
        <f t="shared" si="2"/>
        <v>31</v>
      </c>
      <c r="B56" s="970"/>
      <c r="C56" s="560"/>
      <c r="D56" s="561"/>
      <c r="E56" s="23"/>
      <c r="F56" s="23"/>
      <c r="G56"/>
      <c r="M56" s="12"/>
      <c r="N56" s="44"/>
      <c r="O56" s="45"/>
      <c r="P56" s="45"/>
      <c r="Q56" s="45"/>
      <c r="R56" s="45"/>
      <c r="S56" s="14"/>
    </row>
    <row r="57" spans="1:19">
      <c r="A57" s="32">
        <f t="shared" si="2"/>
        <v>32</v>
      </c>
      <c r="B57" s="970"/>
      <c r="C57" s="560"/>
      <c r="D57" s="561"/>
      <c r="E57" s="23"/>
      <c r="F57" s="29"/>
      <c r="G57"/>
      <c r="M57" s="12"/>
      <c r="N57" s="44"/>
      <c r="O57" s="45"/>
      <c r="P57" s="45"/>
      <c r="Q57" s="45"/>
      <c r="R57" s="45"/>
      <c r="S57" s="14"/>
    </row>
    <row r="58" spans="1:19">
      <c r="A58" s="32">
        <f t="shared" si="2"/>
        <v>33</v>
      </c>
      <c r="B58" s="970"/>
      <c r="C58" s="560"/>
      <c r="D58" s="561"/>
      <c r="E58" s="23"/>
      <c r="F58" s="29"/>
      <c r="G58"/>
    </row>
    <row r="59" spans="1:19">
      <c r="A59" s="32">
        <f t="shared" si="2"/>
        <v>34</v>
      </c>
      <c r="B59" s="970"/>
      <c r="C59" s="560"/>
      <c r="D59" s="561"/>
      <c r="E59" s="23"/>
      <c r="F59" s="29"/>
      <c r="G59" s="25"/>
    </row>
    <row r="60" spans="1:19">
      <c r="A60" s="32">
        <f t="shared" si="2"/>
        <v>35</v>
      </c>
      <c r="B60" s="970"/>
      <c r="C60" s="560"/>
      <c r="D60" s="561"/>
      <c r="E60" s="23"/>
      <c r="F60" s="29"/>
      <c r="G60" s="25"/>
    </row>
    <row r="61" spans="1:19">
      <c r="A61" s="32">
        <f t="shared" si="2"/>
        <v>36</v>
      </c>
      <c r="B61" s="970"/>
      <c r="C61" s="560"/>
      <c r="D61" s="561"/>
      <c r="E61" s="23"/>
      <c r="F61" s="29"/>
      <c r="G61" s="25"/>
    </row>
    <row r="62" spans="1:19">
      <c r="A62" s="32">
        <f t="shared" si="2"/>
        <v>37</v>
      </c>
      <c r="B62" s="970"/>
      <c r="C62" s="560"/>
      <c r="D62" s="561"/>
      <c r="E62" s="23"/>
      <c r="F62" s="29"/>
      <c r="G62" s="25"/>
    </row>
    <row r="63" spans="1:19">
      <c r="A63" s="32"/>
      <c r="B63" s="24"/>
      <c r="C63" s="25"/>
      <c r="D63" s="34"/>
      <c r="E63" s="35"/>
      <c r="F63" s="34"/>
      <c r="G63" s="25"/>
    </row>
    <row r="64" spans="1:19" ht="15.75">
      <c r="A64" s="32">
        <f>+A62+1</f>
        <v>38</v>
      </c>
      <c r="B64" s="30"/>
      <c r="C64" s="1258" t="s">
        <v>631</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492</v>
      </c>
      <c r="D66" s="37"/>
      <c r="E66" s="37"/>
      <c r="F66" s="37"/>
      <c r="G66" s="19"/>
    </row>
    <row r="67" spans="1:11">
      <c r="A67" s="32">
        <f>+A64+1</f>
        <v>39</v>
      </c>
      <c r="B67" s="1310">
        <v>9302000</v>
      </c>
      <c r="C67" s="560" t="s">
        <v>806</v>
      </c>
      <c r="D67" s="561">
        <v>113156.79247302945</v>
      </c>
      <c r="E67" s="23">
        <f>D67</f>
        <v>113156.79247302945</v>
      </c>
      <c r="F67" s="29">
        <v>0</v>
      </c>
      <c r="G67" s="12"/>
      <c r="H67" s="44"/>
      <c r="J67" s="14"/>
      <c r="K67" s="14"/>
    </row>
    <row r="68" spans="1:11">
      <c r="A68" s="32">
        <f>+A67+1</f>
        <v>40</v>
      </c>
      <c r="B68" s="1310">
        <v>9302003</v>
      </c>
      <c r="C68" s="560" t="s">
        <v>807</v>
      </c>
      <c r="D68" s="561">
        <v>15312.183974571628</v>
      </c>
      <c r="E68" s="23">
        <f>D68</f>
        <v>15312.183974571628</v>
      </c>
      <c r="F68" s="29">
        <v>0</v>
      </c>
      <c r="G68" s="12"/>
      <c r="H68" s="44"/>
      <c r="J68" s="14"/>
      <c r="K68" s="14"/>
    </row>
    <row r="69" spans="1:11">
      <c r="A69" s="32">
        <f t="shared" ref="A69:A70" si="3">+A68+1</f>
        <v>41</v>
      </c>
      <c r="B69" s="1310">
        <v>9302004</v>
      </c>
      <c r="C69" s="1399" t="s">
        <v>923</v>
      </c>
      <c r="D69" s="561">
        <v>3853.4608992579133</v>
      </c>
      <c r="E69" s="23">
        <f>D69</f>
        <v>3853.4608992579133</v>
      </c>
      <c r="F69" s="29">
        <v>0</v>
      </c>
      <c r="G69" s="12"/>
      <c r="H69" s="44"/>
      <c r="J69" s="14"/>
      <c r="K69" s="14"/>
    </row>
    <row r="70" spans="1:11">
      <c r="A70" s="32">
        <f t="shared" si="3"/>
        <v>42</v>
      </c>
      <c r="B70" s="1310">
        <v>9302007</v>
      </c>
      <c r="C70" s="560" t="s">
        <v>808</v>
      </c>
      <c r="D70" s="561">
        <v>6001.1485435951799</v>
      </c>
      <c r="E70" s="23">
        <f>D70-F70</f>
        <v>0</v>
      </c>
      <c r="F70" s="29">
        <f>D70</f>
        <v>6001.1485435951799</v>
      </c>
      <c r="G70" s="20"/>
    </row>
    <row r="71" spans="1:11">
      <c r="A71" s="32"/>
      <c r="B71" s="20"/>
      <c r="C71" s="20"/>
      <c r="D71" s="20"/>
      <c r="E71" s="20"/>
      <c r="F71" s="20"/>
      <c r="G71" s="20"/>
    </row>
    <row r="72" spans="1:11" ht="15.75">
      <c r="A72" s="32">
        <f>+A70+1</f>
        <v>43</v>
      </c>
      <c r="B72" s="20"/>
      <c r="C72" s="1258" t="s">
        <v>632</v>
      </c>
      <c r="D72" s="36">
        <f>SUM(D67:D71)</f>
        <v>138323.58589045418</v>
      </c>
      <c r="E72" s="36">
        <f>SUM(E67:E71)</f>
        <v>132322.43734685899</v>
      </c>
      <c r="F72" s="36">
        <f>SUM(F67:F71)</f>
        <v>6001.1485435951799</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9"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row>
    <row r="2" spans="1:15" ht="15.75">
      <c r="A2" s="1006"/>
    </row>
    <row r="3" spans="1:15"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row>
    <row r="4" spans="1:15" ht="15">
      <c r="A4" s="1502" t="str">
        <f>"Cost of Service Formula Rate Using Actual/Projected FF1 Balances"</f>
        <v>Cost of Service Formula Rate Using Actual/Projected FF1 Balances</v>
      </c>
      <c r="B4" s="1502"/>
      <c r="C4" s="1502"/>
      <c r="D4" s="1502"/>
      <c r="E4" s="1502"/>
      <c r="F4" s="1502"/>
      <c r="G4" s="1502"/>
      <c r="H4" s="1502"/>
    </row>
    <row r="5" spans="1:15" ht="15">
      <c r="A5" s="1502" t="s">
        <v>328</v>
      </c>
      <c r="B5" s="1502"/>
      <c r="C5" s="1502"/>
      <c r="D5" s="1502"/>
      <c r="E5" s="1502"/>
      <c r="F5" s="1502"/>
      <c r="G5" s="1502"/>
      <c r="H5" s="1502"/>
    </row>
    <row r="6" spans="1:15" ht="15">
      <c r="A6" s="1503" t="str">
        <f>TCOS!F9</f>
        <v>West Virginia Transmission Company</v>
      </c>
      <c r="B6" s="1503"/>
      <c r="C6" s="1503"/>
      <c r="D6" s="1503"/>
      <c r="E6" s="1503"/>
      <c r="F6" s="1503"/>
      <c r="G6" s="1503"/>
    </row>
    <row r="7" spans="1:15" ht="12.75" customHeight="1">
      <c r="A7" s="562"/>
      <c r="B7" s="563"/>
      <c r="C7" s="563"/>
      <c r="D7" s="563"/>
      <c r="E7" s="563"/>
      <c r="F7" s="563"/>
      <c r="G7" s="563"/>
      <c r="H7" s="563"/>
      <c r="I7" s="563"/>
      <c r="J7" s="563"/>
      <c r="O7" s="564"/>
    </row>
    <row r="8" spans="1:15" ht="12.75" customHeight="1">
      <c r="A8" s="562"/>
      <c r="B8" s="422"/>
      <c r="C8" s="395"/>
      <c r="D8" s="395"/>
      <c r="E8" s="395"/>
      <c r="F8" s="395"/>
    </row>
    <row r="9" spans="1:15" ht="15">
      <c r="A9" s="565">
        <v>1</v>
      </c>
      <c r="B9" s="576" t="s">
        <v>824</v>
      </c>
      <c r="C9" s="567"/>
      <c r="D9" s="568"/>
      <c r="E9" s="574">
        <v>6.5000000000000002E-2</v>
      </c>
      <c r="F9" s="395"/>
      <c r="G9" s="569"/>
      <c r="H9" s="569"/>
      <c r="L9" s="570"/>
    </row>
    <row r="10" spans="1:15" ht="15">
      <c r="A10" s="570"/>
      <c r="B10" s="566" t="s">
        <v>617</v>
      </c>
      <c r="C10" s="567"/>
      <c r="D10" s="567"/>
      <c r="E10" s="575">
        <v>0.99370000000000003</v>
      </c>
      <c r="F10" s="395"/>
      <c r="G10" s="569"/>
      <c r="H10" s="569"/>
      <c r="L10" s="570"/>
    </row>
    <row r="11" spans="1:15" ht="15">
      <c r="A11" s="570"/>
      <c r="B11" s="566" t="s">
        <v>228</v>
      </c>
      <c r="C11" s="567"/>
      <c r="D11" s="567"/>
      <c r="E11" s="394"/>
      <c r="F11" s="571">
        <f>ROUND(E9*E10,4)</f>
        <v>6.4600000000000005E-2</v>
      </c>
      <c r="G11" s="569"/>
      <c r="L11" s="570"/>
    </row>
    <row r="12" spans="1:15" ht="15">
      <c r="A12" s="570"/>
      <c r="B12" s="566"/>
      <c r="C12" s="567"/>
      <c r="D12" s="567"/>
      <c r="E12" s="394"/>
      <c r="F12" s="571"/>
      <c r="G12" s="569"/>
      <c r="L12" s="570"/>
    </row>
    <row r="13" spans="1:15" ht="15">
      <c r="A13" s="570">
        <f>A9+1</f>
        <v>2</v>
      </c>
      <c r="B13" s="576" t="s">
        <v>105</v>
      </c>
      <c r="C13" s="567"/>
      <c r="D13" s="568"/>
      <c r="E13" s="574"/>
      <c r="F13" s="395"/>
      <c r="G13" s="569"/>
      <c r="L13" s="570"/>
    </row>
    <row r="14" spans="1:15" ht="15">
      <c r="A14" s="570"/>
      <c r="B14" s="566" t="s">
        <v>617</v>
      </c>
      <c r="C14" s="567"/>
      <c r="D14" s="567"/>
      <c r="E14" s="575"/>
      <c r="F14" s="395"/>
      <c r="G14" s="569"/>
      <c r="L14" s="570"/>
    </row>
    <row r="15" spans="1:15" ht="15">
      <c r="A15" s="570"/>
      <c r="B15" s="566" t="s">
        <v>228</v>
      </c>
      <c r="C15" s="567"/>
      <c r="D15" s="567"/>
      <c r="E15" s="394"/>
      <c r="F15" s="571">
        <f>ROUND(E13*E14,4)</f>
        <v>0</v>
      </c>
      <c r="G15" s="569"/>
      <c r="L15" s="570"/>
    </row>
    <row r="16" spans="1:15" ht="15">
      <c r="A16" s="570"/>
      <c r="B16" s="566"/>
      <c r="C16" s="567"/>
      <c r="D16" s="567"/>
      <c r="E16" s="394"/>
      <c r="F16" s="571"/>
      <c r="G16" s="569"/>
      <c r="L16" s="570"/>
    </row>
    <row r="17" spans="1:12" ht="15">
      <c r="A17" s="570">
        <f>A13+1</f>
        <v>3</v>
      </c>
      <c r="B17" s="576" t="s">
        <v>105</v>
      </c>
      <c r="C17" s="567"/>
      <c r="D17" s="568"/>
      <c r="E17" s="574"/>
      <c r="F17" s="395"/>
      <c r="G17" s="569"/>
      <c r="L17" s="570"/>
    </row>
    <row r="18" spans="1:12" ht="15">
      <c r="A18" s="570"/>
      <c r="B18" s="566" t="s">
        <v>617</v>
      </c>
      <c r="C18" s="567"/>
      <c r="D18" s="567"/>
      <c r="E18" s="575"/>
      <c r="F18" s="395"/>
      <c r="G18" s="569"/>
      <c r="L18" s="570"/>
    </row>
    <row r="19" spans="1:12" ht="15">
      <c r="A19" s="570"/>
      <c r="B19" s="566" t="s">
        <v>228</v>
      </c>
      <c r="C19" s="567"/>
      <c r="D19" s="567"/>
      <c r="E19" s="394"/>
      <c r="F19" s="571">
        <f>ROUND(E17*E18,4)</f>
        <v>0</v>
      </c>
      <c r="G19" s="569"/>
      <c r="L19" s="570"/>
    </row>
    <row r="20" spans="1:12" ht="15">
      <c r="A20" s="570"/>
      <c r="B20" s="566"/>
      <c r="C20" s="567"/>
      <c r="D20" s="567"/>
      <c r="E20" s="394"/>
      <c r="F20" s="571"/>
      <c r="G20" s="569"/>
      <c r="L20" s="570"/>
    </row>
    <row r="21" spans="1:12" ht="15">
      <c r="A21" s="570">
        <f>A17+1</f>
        <v>4</v>
      </c>
      <c r="B21" s="576" t="s">
        <v>105</v>
      </c>
      <c r="C21" s="567"/>
      <c r="D21" s="568"/>
      <c r="E21" s="574"/>
      <c r="F21" s="395"/>
      <c r="G21" s="569"/>
      <c r="L21" s="570"/>
    </row>
    <row r="22" spans="1:12" ht="15">
      <c r="A22" s="570"/>
      <c r="B22" s="566" t="s">
        <v>617</v>
      </c>
      <c r="C22" s="567"/>
      <c r="D22" s="567"/>
      <c r="E22" s="575"/>
      <c r="F22" s="395"/>
      <c r="G22" s="569"/>
      <c r="L22" s="570"/>
    </row>
    <row r="23" spans="1:12" ht="15">
      <c r="A23" s="570"/>
      <c r="B23" s="566" t="s">
        <v>228</v>
      </c>
      <c r="C23" s="567"/>
      <c r="D23" s="567"/>
      <c r="E23" s="394"/>
      <c r="F23" s="571">
        <f>ROUND(E21*E22,4)</f>
        <v>0</v>
      </c>
      <c r="G23" s="569"/>
      <c r="L23" s="570"/>
    </row>
    <row r="24" spans="1:12" ht="15">
      <c r="A24" s="570"/>
      <c r="B24" s="566"/>
      <c r="C24" s="567"/>
      <c r="D24" s="567"/>
      <c r="E24" s="394"/>
      <c r="F24" s="571"/>
      <c r="G24" s="569"/>
      <c r="L24" s="570"/>
    </row>
    <row r="25" spans="1:12" ht="15">
      <c r="A25" s="570">
        <f>A21+1</f>
        <v>5</v>
      </c>
      <c r="B25" s="576" t="s">
        <v>105</v>
      </c>
      <c r="C25" s="567"/>
      <c r="D25" s="568"/>
      <c r="E25" s="574"/>
      <c r="F25" s="572"/>
      <c r="G25" s="569"/>
      <c r="L25" s="570"/>
    </row>
    <row r="26" spans="1:12" ht="15">
      <c r="A26" s="570"/>
      <c r="B26" s="566" t="s">
        <v>617</v>
      </c>
      <c r="C26" s="567"/>
      <c r="D26" s="567"/>
      <c r="E26" s="575"/>
      <c r="F26" s="572"/>
      <c r="G26" s="569"/>
      <c r="L26" s="570"/>
    </row>
    <row r="27" spans="1:12" ht="15">
      <c r="A27" s="570"/>
      <c r="B27" s="566" t="s">
        <v>228</v>
      </c>
      <c r="C27" s="567"/>
      <c r="D27" s="567"/>
      <c r="E27" s="394"/>
      <c r="F27" s="571">
        <f>ROUND(E25*E26,4)</f>
        <v>0</v>
      </c>
      <c r="G27" s="569"/>
      <c r="L27" s="570"/>
    </row>
    <row r="28" spans="1:12" ht="15">
      <c r="A28" s="570"/>
      <c r="B28" s="566"/>
      <c r="C28" s="567"/>
      <c r="D28" s="567"/>
      <c r="E28" s="567"/>
      <c r="F28" s="572"/>
      <c r="G28" s="569"/>
      <c r="L28" s="570"/>
    </row>
    <row r="29" spans="1:12" ht="15.75" thickBot="1">
      <c r="A29" s="570"/>
      <c r="B29" s="394" t="s">
        <v>485</v>
      </c>
      <c r="C29" s="394"/>
      <c r="D29" s="394"/>
      <c r="E29" s="394"/>
      <c r="F29" s="573">
        <f>ROUND(SUM(F11:F28),4)</f>
        <v>6.4600000000000005E-2</v>
      </c>
      <c r="G29" s="569"/>
      <c r="L29" s="570"/>
    </row>
    <row r="30" spans="1:12" ht="13.5" thickTop="1">
      <c r="A30" s="570"/>
      <c r="G30" s="393"/>
      <c r="L30" s="570"/>
    </row>
    <row r="31" spans="1:12">
      <c r="A31" s="570"/>
      <c r="G31" s="393"/>
      <c r="H31" s="393"/>
      <c r="L31" s="570"/>
    </row>
    <row r="32" spans="1:12">
      <c r="A32" s="570"/>
      <c r="G32" s="393"/>
      <c r="H32" s="393"/>
      <c r="L32" s="570"/>
    </row>
    <row r="33" spans="1:12" ht="12.75" customHeight="1">
      <c r="A33" s="570"/>
      <c r="C33" s="394"/>
      <c r="D33" s="394"/>
      <c r="E33" s="394"/>
      <c r="F33" s="394"/>
      <c r="G33" s="393"/>
      <c r="H33" s="393"/>
      <c r="L33" s="570"/>
    </row>
    <row r="34" spans="1:12">
      <c r="A34" s="348" t="s">
        <v>287</v>
      </c>
      <c r="B34" s="348" t="s">
        <v>192</v>
      </c>
      <c r="C34" s="348"/>
      <c r="D34" s="348"/>
      <c r="E34" s="348"/>
      <c r="F34" s="348"/>
      <c r="G34" s="348"/>
      <c r="H34" s="393"/>
      <c r="I34" s="393"/>
      <c r="L34" s="393"/>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topLeftCell="A28" zoomScale="80" zoomScaleNormal="80" zoomScalePageLayoutView="50" workbookViewId="0">
      <selection activeCell="G37" sqref="G37"/>
    </sheetView>
  </sheetViews>
  <sheetFormatPr defaultRowHeight="15"/>
  <cols>
    <col min="1" max="1" width="7.28515625" style="643" customWidth="1"/>
    <col min="2" max="2" width="1.7109375" style="582" customWidth="1"/>
    <col min="3" max="3" width="62.42578125" style="582" customWidth="1"/>
    <col min="4" max="4" width="11" style="582" customWidth="1"/>
    <col min="5" max="5" width="20.42578125" style="644" customWidth="1"/>
    <col min="6" max="6" width="1.7109375" style="577" customWidth="1"/>
    <col min="7" max="7" width="20" style="577" bestFit="1" customWidth="1"/>
    <col min="8" max="8" width="1.7109375" style="577" customWidth="1"/>
    <col min="9" max="9" width="21.42578125" style="577" customWidth="1"/>
    <col min="10" max="10" width="1.7109375" style="577" customWidth="1"/>
    <col min="11" max="11" width="17.7109375" style="577" bestFit="1" customWidth="1"/>
    <col min="12" max="12" width="3.42578125" style="577" customWidth="1"/>
    <col min="13" max="13" width="22.5703125" style="577" customWidth="1"/>
    <col min="14" max="14" width="1.28515625" style="577" customWidth="1"/>
    <col min="15" max="15" width="22.140625" style="578" customWidth="1"/>
    <col min="16" max="16384" width="9.140625" style="577"/>
  </cols>
  <sheetData>
    <row r="1" spans="1:29" ht="15.75">
      <c r="A1" s="1006"/>
    </row>
    <row r="2" spans="1:29" ht="15.75">
      <c r="A2" s="1006"/>
    </row>
    <row r="3" spans="1:29" ht="18.75" customHeight="1">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1474" t="str">
        <f>TCOS!$F$5</f>
        <v>AEPTCo subsidiaries in PJM</v>
      </c>
      <c r="K3" s="1474" t="str">
        <f>TCOS!$F$5</f>
        <v>AEPTCo subsidiaries in PJM</v>
      </c>
      <c r="L3" s="1474" t="str">
        <f>TCOS!$F$5</f>
        <v>AEPTCo subsidiaries in PJM</v>
      </c>
      <c r="M3" s="1474" t="str">
        <f>TCOS!$F$5</f>
        <v>AEPTCo subsidiaries in PJM</v>
      </c>
    </row>
    <row r="4" spans="1:29" ht="18.75" customHeight="1">
      <c r="A4" s="1502" t="str">
        <f>"Cost of Service Formula Rate Using Actual/Projected FF1 Balances"</f>
        <v>Cost of Service Formula Rate Using Actual/Projected FF1 Balances</v>
      </c>
      <c r="B4" s="1502"/>
      <c r="C4" s="1502"/>
      <c r="D4" s="1502"/>
      <c r="E4" s="1502"/>
      <c r="F4" s="1502"/>
      <c r="G4" s="1502"/>
      <c r="H4" s="1502"/>
      <c r="I4" s="1502"/>
      <c r="J4" s="1502"/>
      <c r="K4" s="1502"/>
      <c r="L4" s="1502"/>
      <c r="M4" s="1502"/>
    </row>
    <row r="5" spans="1:29" ht="18.75" customHeight="1">
      <c r="A5" s="1502" t="s">
        <v>247</v>
      </c>
      <c r="B5" s="1502"/>
      <c r="C5" s="1502"/>
      <c r="D5" s="1502"/>
      <c r="E5" s="1502"/>
      <c r="F5" s="1502"/>
      <c r="G5" s="1502"/>
      <c r="H5" s="1502"/>
      <c r="I5" s="1502"/>
      <c r="J5" s="1502"/>
      <c r="K5" s="1502"/>
      <c r="L5" s="1502"/>
      <c r="M5" s="1502"/>
    </row>
    <row r="6" spans="1:29" ht="18.75" customHeight="1">
      <c r="A6" s="1518" t="str">
        <f>TCOS!F9</f>
        <v>West Virginia Transmission Company</v>
      </c>
      <c r="B6" s="1518"/>
      <c r="C6" s="1518"/>
      <c r="D6" s="1518"/>
      <c r="E6" s="1518"/>
      <c r="F6" s="1518"/>
      <c r="G6" s="1518"/>
      <c r="H6" s="1518"/>
      <c r="I6" s="1518"/>
      <c r="J6" s="1518"/>
      <c r="K6" s="1518"/>
      <c r="L6" s="1518"/>
      <c r="M6" s="1518"/>
    </row>
    <row r="7" spans="1:29" ht="18" customHeight="1">
      <c r="A7" s="1503"/>
      <c r="B7" s="1503"/>
      <c r="C7" s="1503"/>
      <c r="D7" s="1503"/>
      <c r="E7" s="1503"/>
      <c r="F7" s="1503"/>
      <c r="G7" s="1503"/>
      <c r="H7" s="1503"/>
      <c r="I7" s="1503"/>
      <c r="J7" s="1503"/>
      <c r="K7" s="1503"/>
      <c r="L7" s="1503"/>
      <c r="M7" s="1503"/>
    </row>
    <row r="8" spans="1:29" ht="18" customHeight="1">
      <c r="A8" s="1514"/>
      <c r="B8" s="1514"/>
      <c r="C8" s="1514"/>
      <c r="D8" s="1514"/>
      <c r="E8" s="1514"/>
      <c r="F8" s="1514"/>
      <c r="G8" s="1514"/>
      <c r="H8" s="1514"/>
      <c r="I8" s="1514"/>
      <c r="J8" s="1514"/>
      <c r="K8" s="1514"/>
      <c r="L8" s="1514"/>
      <c r="M8" s="1514"/>
    </row>
    <row r="9" spans="1:29" ht="18" customHeight="1">
      <c r="A9" s="520"/>
      <c r="B9" s="520"/>
      <c r="C9" s="520"/>
      <c r="D9" s="520"/>
      <c r="E9" s="520"/>
      <c r="F9" s="520"/>
      <c r="G9" s="520"/>
      <c r="H9" s="520"/>
      <c r="I9" s="520"/>
      <c r="J9" s="520"/>
      <c r="K9" s="520"/>
      <c r="L9" s="520"/>
      <c r="M9" s="520"/>
    </row>
    <row r="10" spans="1:29" ht="19.5" customHeight="1">
      <c r="A10" s="579"/>
      <c r="B10" s="580"/>
      <c r="C10" s="581" t="s">
        <v>452</v>
      </c>
      <c r="E10" s="581" t="s">
        <v>453</v>
      </c>
      <c r="G10" s="581" t="s">
        <v>454</v>
      </c>
      <c r="I10" s="581" t="s">
        <v>455</v>
      </c>
      <c r="K10" s="581" t="s">
        <v>375</v>
      </c>
      <c r="M10" s="581" t="s">
        <v>376</v>
      </c>
    </row>
    <row r="11" spans="1:29" ht="18">
      <c r="A11" s="583"/>
      <c r="B11" s="584"/>
      <c r="C11" s="584"/>
      <c r="D11" s="584"/>
      <c r="E11" s="173"/>
      <c r="F11" s="173"/>
      <c r="G11" s="173"/>
      <c r="H11" s="173"/>
      <c r="I11" s="173"/>
      <c r="J11" s="173"/>
      <c r="K11" s="173"/>
      <c r="L11" s="173"/>
      <c r="M11" s="173"/>
      <c r="Q11" s="422"/>
      <c r="R11" s="422"/>
      <c r="S11" s="422"/>
      <c r="T11" s="422"/>
      <c r="U11" s="422"/>
      <c r="V11" s="422"/>
      <c r="W11" s="422"/>
      <c r="X11" s="422"/>
      <c r="Y11" s="422"/>
      <c r="Z11" s="422"/>
      <c r="AA11" s="422"/>
      <c r="AB11" s="422"/>
      <c r="AC11" s="422"/>
    </row>
    <row r="12" spans="1:29" ht="19.5">
      <c r="A12" s="583" t="s">
        <v>459</v>
      </c>
      <c r="B12" s="584"/>
      <c r="C12" s="584"/>
      <c r="D12" s="584"/>
      <c r="E12" s="585" t="s">
        <v>410</v>
      </c>
      <c r="F12" s="583"/>
      <c r="G12" s="583"/>
      <c r="H12" s="583"/>
      <c r="I12" s="583"/>
      <c r="J12" s="583"/>
      <c r="K12" s="586"/>
      <c r="L12" s="586"/>
      <c r="M12" s="587"/>
    </row>
    <row r="13" spans="1:29" ht="19.5">
      <c r="A13" s="588" t="s">
        <v>409</v>
      </c>
      <c r="B13" s="584"/>
      <c r="C13" s="588" t="s">
        <v>102</v>
      </c>
      <c r="D13" s="584"/>
      <c r="E13" s="589" t="s">
        <v>473</v>
      </c>
      <c r="F13" s="583"/>
      <c r="G13" s="588" t="s">
        <v>106</v>
      </c>
      <c r="H13" s="583"/>
      <c r="I13" s="588" t="s">
        <v>451</v>
      </c>
      <c r="J13" s="583"/>
      <c r="K13" s="590" t="s">
        <v>471</v>
      </c>
      <c r="L13" s="591"/>
      <c r="M13" s="590" t="s">
        <v>107</v>
      </c>
    </row>
    <row r="14" spans="1:29" ht="19.5">
      <c r="A14" s="592"/>
      <c r="B14" s="580"/>
      <c r="C14" s="593"/>
      <c r="D14" s="593"/>
      <c r="E14" s="593" t="s">
        <v>325</v>
      </c>
      <c r="F14" s="593"/>
      <c r="G14" s="593"/>
      <c r="H14" s="593"/>
      <c r="I14" s="593"/>
      <c r="J14" s="593"/>
      <c r="K14" s="594"/>
      <c r="L14" s="594"/>
    </row>
    <row r="15" spans="1:29" ht="19.5">
      <c r="A15" s="579"/>
      <c r="B15" s="580"/>
      <c r="C15" s="580"/>
      <c r="D15" s="580"/>
      <c r="E15" s="595"/>
      <c r="F15" s="596"/>
      <c r="G15" s="596"/>
      <c r="H15" s="596"/>
      <c r="I15" s="597"/>
      <c r="J15" s="596"/>
      <c r="K15" s="594"/>
      <c r="L15" s="594"/>
    </row>
    <row r="16" spans="1:29" ht="19.5">
      <c r="A16" s="579">
        <v>1</v>
      </c>
      <c r="B16" s="580"/>
      <c r="C16" s="598" t="s">
        <v>118</v>
      </c>
      <c r="D16" s="580"/>
      <c r="E16" s="594"/>
      <c r="F16" s="594"/>
      <c r="G16" s="599"/>
      <c r="H16" s="599"/>
      <c r="I16" s="599"/>
      <c r="J16" s="599"/>
      <c r="K16" s="599"/>
      <c r="L16" s="599"/>
      <c r="M16" s="600"/>
    </row>
    <row r="17" spans="1:15" ht="19.5">
      <c r="A17" s="579">
        <f>+A16+1</f>
        <v>2</v>
      </c>
      <c r="B17" s="580"/>
      <c r="C17" s="596" t="s">
        <v>103</v>
      </c>
      <c r="D17" s="580"/>
      <c r="E17" s="601">
        <f>+'WS H-p2 Detail of Tax Amts'!E14</f>
        <v>0</v>
      </c>
      <c r="F17" s="594"/>
      <c r="G17" s="599"/>
      <c r="H17" s="599"/>
      <c r="I17" s="599"/>
      <c r="J17" s="599"/>
      <c r="K17" s="599"/>
      <c r="L17" s="599"/>
      <c r="M17" s="600">
        <f>+E17</f>
        <v>0</v>
      </c>
    </row>
    <row r="18" spans="1:15" ht="19.5">
      <c r="A18" s="579"/>
      <c r="B18" s="580"/>
      <c r="C18" s="586"/>
      <c r="D18" s="580"/>
      <c r="E18" s="602"/>
      <c r="F18" s="594"/>
      <c r="G18" s="599"/>
      <c r="H18" s="599"/>
      <c r="I18" s="599"/>
      <c r="J18" s="599"/>
      <c r="K18" s="599"/>
      <c r="L18" s="599"/>
      <c r="M18" s="600"/>
    </row>
    <row r="19" spans="1:15" ht="19.5">
      <c r="A19" s="579">
        <f>+A17+1</f>
        <v>3</v>
      </c>
      <c r="B19" s="580"/>
      <c r="C19" s="598" t="s">
        <v>119</v>
      </c>
      <c r="D19" s="580"/>
      <c r="E19" s="602"/>
      <c r="F19" s="594"/>
      <c r="G19" s="599"/>
      <c r="H19" s="599"/>
      <c r="I19" s="599"/>
      <c r="J19" s="599"/>
      <c r="K19" s="599"/>
      <c r="L19" s="599"/>
      <c r="M19" s="600"/>
    </row>
    <row r="20" spans="1:15" ht="19.5">
      <c r="A20" s="579">
        <f>+A19+1</f>
        <v>4</v>
      </c>
      <c r="B20" s="580"/>
      <c r="C20" s="596" t="s">
        <v>609</v>
      </c>
      <c r="D20" s="596"/>
      <c r="E20" s="601">
        <f>'WS H-p2 Detail of Tax Amts'!E23</f>
        <v>24053945</v>
      </c>
      <c r="F20" s="596"/>
      <c r="G20" s="599">
        <f>+E20</f>
        <v>24053945</v>
      </c>
      <c r="H20" s="599"/>
      <c r="I20" s="599"/>
      <c r="J20" s="599"/>
      <c r="K20" s="599"/>
      <c r="L20" s="599"/>
      <c r="M20" s="600"/>
      <c r="O20" s="173"/>
    </row>
    <row r="21" spans="1:15" ht="19.5">
      <c r="A21" s="579">
        <f>+A20+1</f>
        <v>5</v>
      </c>
      <c r="B21" s="580"/>
      <c r="C21" s="596" t="s">
        <v>610</v>
      </c>
      <c r="D21" s="596"/>
      <c r="E21" s="601">
        <f>'WS H-p2 Detail of Tax Amts'!E30</f>
        <v>0</v>
      </c>
      <c r="F21" s="596"/>
      <c r="G21" s="599">
        <f>+E21</f>
        <v>0</v>
      </c>
      <c r="H21" s="599"/>
      <c r="I21" s="599"/>
      <c r="J21" s="599"/>
      <c r="K21" s="599"/>
      <c r="L21" s="599"/>
      <c r="M21" s="600"/>
      <c r="O21" s="173"/>
    </row>
    <row r="22" spans="1:15" ht="19.5">
      <c r="A22" s="579">
        <f>+A21+1</f>
        <v>6</v>
      </c>
      <c r="B22" s="580"/>
      <c r="C22" s="596" t="s">
        <v>611</v>
      </c>
      <c r="D22" s="596"/>
      <c r="E22" s="601">
        <f>'WS H-p2 Detail of Tax Amts'!E37</f>
        <v>0</v>
      </c>
      <c r="F22" s="596"/>
      <c r="G22" s="599">
        <f>+E22</f>
        <v>0</v>
      </c>
      <c r="H22" s="599"/>
      <c r="I22" s="599"/>
      <c r="J22" s="599"/>
      <c r="K22" s="599"/>
      <c r="L22" s="599"/>
      <c r="M22" s="600"/>
      <c r="O22" s="173"/>
    </row>
    <row r="23" spans="1:15" ht="19.5">
      <c r="A23" s="579">
        <f>+A22+1</f>
        <v>7</v>
      </c>
      <c r="B23" s="580"/>
      <c r="C23" s="596" t="s">
        <v>243</v>
      </c>
      <c r="D23" s="603"/>
      <c r="E23" s="601">
        <f>+'WS H-p2 Detail of Tax Amts'!E40</f>
        <v>0</v>
      </c>
      <c r="F23" s="594"/>
      <c r="G23" s="599">
        <f>+E23</f>
        <v>0</v>
      </c>
      <c r="H23" s="599"/>
      <c r="I23" s="599"/>
      <c r="J23" s="599"/>
      <c r="K23" s="599"/>
      <c r="L23" s="599"/>
      <c r="M23" s="600"/>
      <c r="O23" s="173"/>
    </row>
    <row r="24" spans="1:15" ht="19.5">
      <c r="A24" s="579"/>
      <c r="B24" s="580"/>
      <c r="C24" s="586"/>
      <c r="D24" s="580"/>
      <c r="E24" s="602"/>
      <c r="F24" s="594"/>
      <c r="G24" s="599"/>
      <c r="H24" s="599"/>
      <c r="I24" s="599"/>
      <c r="J24" s="599"/>
      <c r="K24" s="599"/>
      <c r="L24" s="599"/>
      <c r="M24" s="600"/>
      <c r="O24" s="604"/>
    </row>
    <row r="25" spans="1:15" ht="19.5">
      <c r="A25" s="579">
        <f>+A23+1</f>
        <v>8</v>
      </c>
      <c r="B25" s="580"/>
      <c r="C25" s="598" t="s">
        <v>120</v>
      </c>
      <c r="D25" s="580"/>
      <c r="E25" s="602"/>
      <c r="F25" s="594"/>
      <c r="G25" s="599"/>
      <c r="H25" s="599"/>
      <c r="I25" s="599"/>
      <c r="J25" s="599"/>
      <c r="K25" s="599"/>
      <c r="L25" s="599"/>
      <c r="M25" s="600"/>
      <c r="O25" s="604"/>
    </row>
    <row r="26" spans="1:15" ht="19.5">
      <c r="A26" s="579">
        <f>+A25+1</f>
        <v>9</v>
      </c>
      <c r="B26" s="580"/>
      <c r="C26" s="596" t="s">
        <v>116</v>
      </c>
      <c r="D26" s="580"/>
      <c r="E26" s="601">
        <f>+'WS H-p2 Detail of Tax Amts'!E50</f>
        <v>0</v>
      </c>
      <c r="F26" s="594"/>
      <c r="G26" s="599"/>
      <c r="H26" s="599"/>
      <c r="I26" s="599">
        <f>+E26</f>
        <v>0</v>
      </c>
      <c r="J26" s="599"/>
      <c r="K26" s="599"/>
      <c r="L26" s="599"/>
      <c r="M26" s="600"/>
      <c r="O26" s="604"/>
    </row>
    <row r="27" spans="1:15" ht="19.5">
      <c r="A27" s="579">
        <f>+A26+1</f>
        <v>10</v>
      </c>
      <c r="B27" s="580"/>
      <c r="C27" s="596" t="s">
        <v>109</v>
      </c>
      <c r="D27" s="580"/>
      <c r="E27" s="601">
        <f>+'WS H-p2 Detail of Tax Amts'!E52</f>
        <v>0</v>
      </c>
      <c r="F27" s="594"/>
      <c r="G27" s="594"/>
      <c r="H27" s="594"/>
      <c r="I27" s="600">
        <f>+E27</f>
        <v>0</v>
      </c>
      <c r="J27" s="596"/>
      <c r="K27" s="594"/>
      <c r="L27" s="594"/>
      <c r="M27" s="600"/>
    </row>
    <row r="28" spans="1:15" ht="19.5">
      <c r="A28" s="579">
        <f>+A27+1</f>
        <v>11</v>
      </c>
      <c r="B28" s="580"/>
      <c r="C28" s="596" t="s">
        <v>110</v>
      </c>
      <c r="D28" s="580"/>
      <c r="E28" s="601">
        <f>+'WS H-p2 Detail of Tax Amts'!E54</f>
        <v>0</v>
      </c>
      <c r="F28" s="594"/>
      <c r="G28" s="594"/>
      <c r="H28" s="594"/>
      <c r="I28" s="600">
        <f>+E28</f>
        <v>0</v>
      </c>
      <c r="J28" s="595"/>
      <c r="K28" s="594"/>
      <c r="L28" s="594"/>
      <c r="M28" s="600"/>
    </row>
    <row r="29" spans="1:15" ht="19.5">
      <c r="A29" s="579" t="s">
        <v>406</v>
      </c>
      <c r="B29" s="580"/>
      <c r="C29" s="594"/>
      <c r="D29" s="580"/>
      <c r="E29" s="602"/>
      <c r="F29" s="594"/>
      <c r="G29" s="594"/>
      <c r="H29" s="594"/>
      <c r="I29" s="605"/>
      <c r="J29" s="606"/>
      <c r="K29" s="607"/>
      <c r="L29" s="607"/>
      <c r="M29" s="600"/>
    </row>
    <row r="30" spans="1:15" ht="19.5">
      <c r="A30" s="579">
        <f>A28+1</f>
        <v>12</v>
      </c>
      <c r="B30" s="580"/>
      <c r="C30" s="608" t="s">
        <v>312</v>
      </c>
      <c r="D30" s="580"/>
      <c r="E30" s="609"/>
      <c r="F30" s="610"/>
      <c r="G30" s="610"/>
      <c r="H30" s="610"/>
      <c r="I30" s="611"/>
      <c r="J30" s="612"/>
      <c r="K30" s="613"/>
      <c r="L30" s="613"/>
      <c r="M30" s="614"/>
    </row>
    <row r="31" spans="1:15" ht="19.5">
      <c r="A31" s="579">
        <f>A30+1</f>
        <v>13</v>
      </c>
      <c r="B31" s="580"/>
      <c r="C31" s="596" t="s">
        <v>214</v>
      </c>
      <c r="D31" s="603"/>
      <c r="E31" s="601">
        <f>+'WS H-p2 Detail of Tax Amts'!E59</f>
        <v>0</v>
      </c>
      <c r="F31" s="615"/>
      <c r="G31" s="594"/>
      <c r="H31" s="594"/>
      <c r="I31" s="605"/>
      <c r="J31" s="606"/>
      <c r="K31" s="607"/>
      <c r="L31" s="607"/>
      <c r="M31" s="600">
        <f>E31</f>
        <v>0</v>
      </c>
    </row>
    <row r="32" spans="1:15" ht="19.5">
      <c r="A32" s="579"/>
      <c r="B32" s="580"/>
      <c r="C32" s="594"/>
      <c r="D32" s="580"/>
      <c r="E32" s="602"/>
      <c r="F32" s="594"/>
      <c r="G32" s="594"/>
      <c r="H32" s="594"/>
      <c r="I32" s="605"/>
      <c r="J32" s="606"/>
      <c r="K32" s="607"/>
      <c r="L32" s="607"/>
      <c r="M32" s="600"/>
    </row>
    <row r="33" spans="1:13" ht="19.5">
      <c r="A33" s="616">
        <f>A31+1</f>
        <v>14</v>
      </c>
      <c r="B33" s="617"/>
      <c r="C33" s="598" t="s">
        <v>117</v>
      </c>
      <c r="D33" s="618"/>
      <c r="E33" s="602"/>
      <c r="F33" s="594"/>
      <c r="G33" s="600"/>
      <c r="H33" s="600"/>
      <c r="I33" s="600"/>
      <c r="J33" s="600"/>
      <c r="K33" s="600"/>
      <c r="L33" s="600"/>
      <c r="M33" s="600"/>
    </row>
    <row r="34" spans="1:13" ht="19.5">
      <c r="A34" s="616">
        <f>A33+1</f>
        <v>15</v>
      </c>
      <c r="B34" s="617"/>
      <c r="C34" s="596" t="s">
        <v>213</v>
      </c>
      <c r="D34" s="618"/>
      <c r="E34" s="601">
        <f>+'WS H-p2 Detail of Tax Amts'!E62</f>
        <v>0</v>
      </c>
      <c r="F34" s="615"/>
      <c r="G34" s="600"/>
      <c r="H34" s="600"/>
      <c r="I34" s="600"/>
      <c r="J34" s="600"/>
      <c r="K34" s="600"/>
      <c r="L34" s="600"/>
      <c r="M34" s="600">
        <f>E34</f>
        <v>0</v>
      </c>
    </row>
    <row r="35" spans="1:13" ht="19.5">
      <c r="A35" s="579">
        <f>A34+1</f>
        <v>16</v>
      </c>
      <c r="B35" s="580"/>
      <c r="C35" s="596" t="s">
        <v>111</v>
      </c>
      <c r="D35" s="580"/>
      <c r="E35" s="619">
        <f>+'WS H-p2 Detail of Tax Amts'!E65</f>
        <v>0</v>
      </c>
      <c r="F35" s="594"/>
      <c r="G35" s="600"/>
      <c r="H35" s="600"/>
      <c r="I35" s="600"/>
      <c r="J35" s="600"/>
      <c r="K35" s="600">
        <f>+E35</f>
        <v>0</v>
      </c>
      <c r="L35" s="600"/>
      <c r="M35" s="600"/>
    </row>
    <row r="36" spans="1:13" ht="19.5">
      <c r="A36" s="579">
        <f t="shared" ref="A36:A41" si="0">+A35+1</f>
        <v>17</v>
      </c>
      <c r="B36" s="580"/>
      <c r="C36" s="596" t="s">
        <v>112</v>
      </c>
      <c r="D36" s="173"/>
      <c r="E36" s="619">
        <f>+'WS H-p2 Detail of Tax Amts'!E69</f>
        <v>0</v>
      </c>
      <c r="F36" s="594"/>
      <c r="G36" s="619"/>
      <c r="H36" s="619"/>
      <c r="I36" s="619"/>
      <c r="J36" s="619"/>
      <c r="K36" s="600">
        <f>+E36</f>
        <v>0</v>
      </c>
      <c r="L36" s="619"/>
      <c r="M36" s="600"/>
    </row>
    <row r="37" spans="1:13" ht="19.5">
      <c r="A37" s="579">
        <f>+A36+1</f>
        <v>18</v>
      </c>
      <c r="B37" s="580"/>
      <c r="C37" s="596" t="s">
        <v>113</v>
      </c>
      <c r="D37" s="173"/>
      <c r="E37" s="619">
        <f>'WS H-p2 Detail of Tax Amts'!E81</f>
        <v>0</v>
      </c>
      <c r="F37" s="594"/>
      <c r="G37" s="600"/>
      <c r="H37" s="600"/>
      <c r="I37" s="600"/>
      <c r="J37" s="600"/>
      <c r="K37" s="600">
        <f>+E37</f>
        <v>0</v>
      </c>
      <c r="L37" s="600"/>
      <c r="M37" s="600"/>
    </row>
    <row r="38" spans="1:13" ht="19.5">
      <c r="A38" s="579">
        <f t="shared" si="0"/>
        <v>19</v>
      </c>
      <c r="B38" s="580"/>
      <c r="C38" s="596" t="s">
        <v>114</v>
      </c>
      <c r="D38" s="580"/>
      <c r="E38" s="619">
        <f>+'WS H-p2 Detail of Tax Amts'!E86</f>
        <v>0</v>
      </c>
      <c r="F38" s="594"/>
      <c r="G38" s="600"/>
      <c r="H38" s="600"/>
      <c r="I38" s="600"/>
      <c r="J38" s="600"/>
      <c r="K38" s="600">
        <f>+E38</f>
        <v>0</v>
      </c>
      <c r="L38" s="600"/>
      <c r="M38" s="600"/>
    </row>
    <row r="39" spans="1:13" ht="19.5">
      <c r="A39" s="579">
        <f t="shared" si="0"/>
        <v>20</v>
      </c>
      <c r="B39" s="580"/>
      <c r="C39" s="596" t="s">
        <v>115</v>
      </c>
      <c r="D39" s="580"/>
      <c r="E39" s="619">
        <f>+'WS H-p2 Detail of Tax Amts'!E89</f>
        <v>0</v>
      </c>
      <c r="F39" s="615"/>
      <c r="G39" s="600"/>
      <c r="H39" s="600"/>
      <c r="I39" s="600"/>
      <c r="J39" s="600"/>
      <c r="K39" s="600"/>
      <c r="L39" s="600"/>
      <c r="M39" s="600">
        <f>+E39</f>
        <v>0</v>
      </c>
    </row>
    <row r="40" spans="1:13" ht="19.5">
      <c r="A40" s="579">
        <f t="shared" si="0"/>
        <v>21</v>
      </c>
      <c r="B40" s="594"/>
      <c r="C40" s="596" t="s">
        <v>104</v>
      </c>
      <c r="D40" s="594"/>
      <c r="E40" s="619">
        <f>+'WS H-p2 Detail of Tax Amts'!E95</f>
        <v>0</v>
      </c>
      <c r="F40" s="594"/>
      <c r="G40" s="600"/>
      <c r="H40" s="600"/>
      <c r="I40" s="600"/>
      <c r="J40" s="600"/>
      <c r="K40" s="600"/>
      <c r="L40" s="600"/>
      <c r="M40" s="600">
        <f>+E40</f>
        <v>0</v>
      </c>
    </row>
    <row r="41" spans="1:13" ht="19.5">
      <c r="A41" s="579">
        <f t="shared" si="0"/>
        <v>22</v>
      </c>
      <c r="B41" s="594"/>
      <c r="C41" s="596" t="s">
        <v>398</v>
      </c>
      <c r="D41" s="615"/>
      <c r="E41" s="619">
        <v>0</v>
      </c>
      <c r="F41" s="615"/>
      <c r="G41" s="600"/>
      <c r="H41" s="600"/>
      <c r="I41" s="600"/>
      <c r="J41" s="600"/>
      <c r="K41" s="600"/>
      <c r="L41" s="600"/>
      <c r="M41" s="600">
        <f>+E41</f>
        <v>0</v>
      </c>
    </row>
    <row r="42" spans="1:13" ht="19.5">
      <c r="A42" s="314"/>
      <c r="B42" s="209"/>
      <c r="C42" s="596"/>
      <c r="D42" s="173"/>
      <c r="E42" s="173"/>
      <c r="F42" s="594"/>
      <c r="H42" s="620"/>
      <c r="I42" s="621"/>
      <c r="J42" s="621"/>
      <c r="K42" s="607"/>
      <c r="L42" s="622"/>
      <c r="M42" s="622"/>
    </row>
    <row r="43" spans="1:13" ht="20.25" thickBot="1">
      <c r="A43" s="623">
        <f>+A41+1</f>
        <v>23</v>
      </c>
      <c r="B43" s="209"/>
      <c r="C43" s="596" t="s">
        <v>108</v>
      </c>
      <c r="D43" s="173"/>
      <c r="E43" s="624">
        <f>SUM(E17:E41)</f>
        <v>24053945</v>
      </c>
      <c r="F43" s="594"/>
      <c r="G43" s="624">
        <f>SUM(G17:G41)</f>
        <v>24053945</v>
      </c>
      <c r="H43" s="620"/>
      <c r="I43" s="624">
        <f>SUM(I17:I41)</f>
        <v>0</v>
      </c>
      <c r="J43" s="621"/>
      <c r="K43" s="624">
        <f>SUM(K17:K41)</f>
        <v>0</v>
      </c>
      <c r="L43" s="622"/>
      <c r="M43" s="624">
        <f>SUM(M17:M41)</f>
        <v>0</v>
      </c>
    </row>
    <row r="44" spans="1:13" ht="20.25" thickTop="1">
      <c r="A44" s="314"/>
      <c r="B44" s="209"/>
      <c r="C44" s="596" t="s">
        <v>173</v>
      </c>
      <c r="D44" s="173"/>
      <c r="E44" s="173"/>
      <c r="F44" s="594"/>
      <c r="G44" s="620"/>
      <c r="H44" s="620"/>
      <c r="I44" s="621"/>
      <c r="J44" s="204"/>
      <c r="K44" s="622"/>
      <c r="L44" s="622"/>
      <c r="M44" s="622"/>
    </row>
    <row r="45" spans="1:13" ht="19.5">
      <c r="A45" s="314"/>
      <c r="B45" s="209"/>
      <c r="C45" s="596" t="s">
        <v>5</v>
      </c>
      <c r="D45" s="173"/>
      <c r="E45" s="173"/>
      <c r="F45" s="594"/>
      <c r="G45" s="620"/>
      <c r="H45" s="620"/>
      <c r="I45" s="621"/>
      <c r="J45" s="204"/>
      <c r="K45" s="622"/>
      <c r="L45" s="622"/>
      <c r="M45" s="622"/>
    </row>
    <row r="46" spans="1:13" ht="19.5">
      <c r="A46" s="314"/>
      <c r="B46" s="209"/>
      <c r="C46" s="1517" t="s">
        <v>242</v>
      </c>
      <c r="D46" s="1517"/>
      <c r="E46" s="1517"/>
      <c r="F46" s="1517"/>
      <c r="G46" s="1517"/>
      <c r="H46" s="1517"/>
      <c r="I46" s="1517"/>
      <c r="J46" s="1517"/>
      <c r="K46" s="1517"/>
      <c r="L46" s="1517"/>
      <c r="M46" s="1517"/>
    </row>
    <row r="47" spans="1:13" ht="78">
      <c r="A47" s="579"/>
      <c r="C47" s="594"/>
      <c r="D47" s="594"/>
      <c r="E47" s="625" t="s">
        <v>313</v>
      </c>
      <c r="G47" s="626" t="s">
        <v>407</v>
      </c>
      <c r="H47" s="626"/>
      <c r="I47" s="625" t="s">
        <v>314</v>
      </c>
      <c r="J47" s="626"/>
      <c r="K47" s="626" t="s">
        <v>128</v>
      </c>
      <c r="L47" s="626"/>
      <c r="M47" s="626" t="s">
        <v>410</v>
      </c>
    </row>
    <row r="48" spans="1:13" ht="19.5">
      <c r="A48" s="627">
        <f>+A43+1</f>
        <v>24</v>
      </c>
      <c r="B48" s="628"/>
      <c r="C48" s="629" t="str">
        <f>"Functionalized Net Plant (TCOS, Lns "&amp;TCOS!B79&amp;" thru "&amp;TCOS!B82&amp;")"</f>
        <v>Functionalized Net Plant (TCOS, Lns 33 thru 36)</v>
      </c>
      <c r="D48" s="615"/>
      <c r="E48" s="630">
        <v>0</v>
      </c>
      <c r="F48" s="629"/>
      <c r="G48" s="630">
        <f>+TCOS!G79</f>
        <v>2496318452.9076829</v>
      </c>
      <c r="H48" s="629"/>
      <c r="I48" s="630">
        <v>0</v>
      </c>
      <c r="J48" s="629"/>
      <c r="K48" s="631">
        <f>+TCOS!G80</f>
        <v>56302739.605006717</v>
      </c>
      <c r="L48" s="615"/>
      <c r="M48" s="632">
        <f>SUM(E48:K48)</f>
        <v>2552621192.5126896</v>
      </c>
    </row>
    <row r="49" spans="1:21" ht="19.5">
      <c r="A49" s="627"/>
      <c r="B49" s="628"/>
      <c r="C49" s="586" t="s">
        <v>612</v>
      </c>
      <c r="D49" s="615"/>
      <c r="E49" s="632"/>
      <c r="F49" s="615"/>
      <c r="G49" s="633"/>
      <c r="H49" s="615"/>
      <c r="I49" s="632"/>
      <c r="J49" s="615"/>
      <c r="K49" s="634"/>
      <c r="L49" s="615"/>
      <c r="M49" s="635"/>
    </row>
    <row r="50" spans="1:21" ht="19.5">
      <c r="A50" s="627">
        <f>+A48+1</f>
        <v>25</v>
      </c>
      <c r="B50" s="628"/>
      <c r="C50" s="615" t="str">
        <f>"Percentage of Plant in "&amp;C49&amp;""</f>
        <v>Percentage of Plant in WEST VIRGINIA JURISDICTION</v>
      </c>
      <c r="D50" s="615"/>
      <c r="E50" s="650"/>
      <c r="F50" s="636"/>
      <c r="G50" s="650">
        <v>1</v>
      </c>
      <c r="H50" s="636"/>
      <c r="I50" s="650"/>
      <c r="J50" s="636"/>
      <c r="K50" s="650">
        <v>1</v>
      </c>
      <c r="L50" s="615"/>
      <c r="M50" s="635"/>
    </row>
    <row r="51" spans="1:21" ht="19.5">
      <c r="A51" s="627">
        <f t="shared" ref="A51:A58" si="1">+A50+1</f>
        <v>26</v>
      </c>
      <c r="B51" s="628"/>
      <c r="C51" s="629" t="str">
        <f>"Net Plant in "&amp;C49&amp;" (Ln "&amp;A48&amp;" * Ln "&amp;A50&amp;")"</f>
        <v>Net Plant in WEST VIRGINIA JURISDICTION (Ln 24 * Ln 25)</v>
      </c>
      <c r="D51" s="615"/>
      <c r="E51" s="632">
        <f>+E48*E50</f>
        <v>0</v>
      </c>
      <c r="F51" s="615"/>
      <c r="G51" s="632">
        <f>+G48*G50</f>
        <v>2496318452.9076829</v>
      </c>
      <c r="H51" s="615"/>
      <c r="I51" s="632">
        <f>+I48*I50</f>
        <v>0</v>
      </c>
      <c r="J51" s="615"/>
      <c r="K51" s="632">
        <f>+K48*K50</f>
        <v>56302739.605006717</v>
      </c>
      <c r="L51" s="615"/>
      <c r="M51" s="632">
        <f>SUM(E51:K51)</f>
        <v>2552621192.5126896</v>
      </c>
      <c r="O51" s="173"/>
    </row>
    <row r="52" spans="1:21" ht="19.5">
      <c r="A52" s="627">
        <f t="shared" si="1"/>
        <v>27</v>
      </c>
      <c r="B52" s="628"/>
      <c r="C52" s="629" t="s">
        <v>541</v>
      </c>
      <c r="D52" s="615"/>
      <c r="E52" s="650"/>
      <c r="F52" s="615"/>
      <c r="G52" s="637"/>
      <c r="H52" s="615"/>
      <c r="I52" s="637"/>
      <c r="J52" s="615"/>
      <c r="K52" s="638"/>
      <c r="L52" s="615"/>
      <c r="M52" s="632"/>
      <c r="O52" s="173"/>
    </row>
    <row r="53" spans="1:21" ht="19.5">
      <c r="A53" s="627">
        <f t="shared" si="1"/>
        <v>28</v>
      </c>
      <c r="B53" s="628"/>
      <c r="C53" s="615" t="str">
        <f>"Taxable Property Basis (Ln "&amp;A51&amp;" - Ln "&amp;A52&amp;")"</f>
        <v>Taxable Property Basis (Ln 26 - Ln 27)</v>
      </c>
      <c r="D53" s="615"/>
      <c r="E53" s="632">
        <f>+E51-E52</f>
        <v>0</v>
      </c>
      <c r="F53" s="615"/>
      <c r="G53" s="632">
        <f>+G51-G52</f>
        <v>2496318452.9076829</v>
      </c>
      <c r="H53" s="615"/>
      <c r="I53" s="632">
        <f>+I51-I52</f>
        <v>0</v>
      </c>
      <c r="J53" s="615"/>
      <c r="K53" s="632">
        <f>+K51-K52</f>
        <v>56302739.605006717</v>
      </c>
      <c r="L53" s="615"/>
      <c r="M53" s="632">
        <f>SUM(E53:K53)</f>
        <v>2552621192.5126896</v>
      </c>
      <c r="O53" s="173"/>
    </row>
    <row r="54" spans="1:21" ht="19.5">
      <c r="A54" s="627">
        <f t="shared" si="1"/>
        <v>29</v>
      </c>
      <c r="B54" s="628"/>
      <c r="C54" s="619" t="s">
        <v>240</v>
      </c>
      <c r="D54" s="615"/>
      <c r="E54" s="650"/>
      <c r="F54" s="636"/>
      <c r="G54" s="650"/>
      <c r="H54" s="636"/>
      <c r="I54" s="650"/>
      <c r="J54" s="636"/>
      <c r="K54" s="650"/>
      <c r="L54" s="615"/>
      <c r="M54" s="632">
        <f>SUM(E54:K54)</f>
        <v>0</v>
      </c>
      <c r="O54" s="173"/>
    </row>
    <row r="55" spans="1:21" ht="19.5">
      <c r="A55" s="627">
        <f t="shared" si="1"/>
        <v>30</v>
      </c>
      <c r="B55" s="628"/>
      <c r="C55" s="629" t="str">
        <f>"Weighted Net Plant (Ln "&amp;A53&amp;" * Ln "&amp;A54&amp;")"</f>
        <v>Weighted Net Plant (Ln 28 * Ln 29)</v>
      </c>
      <c r="D55" s="615"/>
      <c r="E55" s="632">
        <f>+E53*E54</f>
        <v>0</v>
      </c>
      <c r="F55" s="615"/>
      <c r="G55" s="632">
        <f>+G53*G54</f>
        <v>0</v>
      </c>
      <c r="H55" s="615"/>
      <c r="I55" s="632">
        <f>+I53*I54</f>
        <v>0</v>
      </c>
      <c r="J55" s="615"/>
      <c r="K55" s="632">
        <f>+K53*K54</f>
        <v>0</v>
      </c>
      <c r="L55" s="615"/>
      <c r="M55" s="632"/>
      <c r="O55" s="173"/>
      <c r="P55" s="173"/>
      <c r="Q55" s="173"/>
      <c r="R55" s="173"/>
      <c r="S55" s="173"/>
      <c r="T55" s="173"/>
      <c r="U55" s="173"/>
    </row>
    <row r="56" spans="1:21" ht="19.5">
      <c r="A56" s="627">
        <f t="shared" si="1"/>
        <v>31</v>
      </c>
      <c r="B56" s="628"/>
      <c r="C56" s="615" t="str">
        <f>+"General Plant Allocator (Ln "&amp;A55&amp;" / (Total - General Plant))"</f>
        <v>General Plant Allocator (Ln 30 / (Total - General Plant))</v>
      </c>
      <c r="D56" s="615"/>
      <c r="E56" s="639">
        <f>IF(E54=0,0,+E55/($E55+$G55+$I55))</f>
        <v>0</v>
      </c>
      <c r="F56" s="615"/>
      <c r="G56" s="639">
        <v>1</v>
      </c>
      <c r="H56" s="615"/>
      <c r="I56" s="639">
        <f>IF(I54=0,0,+I55/($E55+$G55+$I55))</f>
        <v>0</v>
      </c>
      <c r="J56" s="615"/>
      <c r="K56" s="639">
        <v>-1</v>
      </c>
      <c r="L56" s="615"/>
      <c r="M56" s="615"/>
      <c r="O56" s="173"/>
      <c r="P56" s="173"/>
      <c r="Q56" s="173"/>
      <c r="R56" s="173"/>
      <c r="S56" s="173"/>
      <c r="T56" s="173"/>
      <c r="U56" s="173"/>
    </row>
    <row r="57" spans="1:21" ht="19.5">
      <c r="A57" s="627">
        <f t="shared" si="1"/>
        <v>32</v>
      </c>
      <c r="B57" s="628"/>
      <c r="C57" s="615" t="str">
        <f>"Functionalized General Plant (Ln "&amp;A56&amp;" * General Plant)"</f>
        <v>Functionalized General Plant (Ln 31 * General Plant)</v>
      </c>
      <c r="D57" s="615"/>
      <c r="E57" s="640">
        <f>ROUND($K55*E56,0)</f>
        <v>0</v>
      </c>
      <c r="F57" s="615"/>
      <c r="G57" s="640">
        <f>+G56*K55</f>
        <v>0</v>
      </c>
      <c r="H57" s="615"/>
      <c r="I57" s="640">
        <f>ROUND($K55*I56,0)</f>
        <v>0</v>
      </c>
      <c r="J57" s="615"/>
      <c r="K57" s="640">
        <f>ROUND($K55*K56,0)</f>
        <v>0</v>
      </c>
      <c r="L57" s="615"/>
      <c r="M57" s="632">
        <f>IF(SUM(E57:K57)&lt;&gt;0,0,0)</f>
        <v>0</v>
      </c>
      <c r="O57" s="173"/>
      <c r="P57" s="173"/>
      <c r="Q57" s="173"/>
      <c r="R57" s="173"/>
      <c r="S57" s="173"/>
      <c r="T57" s="173"/>
      <c r="U57" s="173"/>
    </row>
    <row r="58" spans="1:21" ht="19.5">
      <c r="A58" s="627">
        <f t="shared" si="1"/>
        <v>33</v>
      </c>
      <c r="B58" s="628"/>
      <c r="C58" s="615" t="str">
        <f>"Weighted "&amp;C49&amp;" Plant (Ln "&amp;A55&amp;" + "&amp;A57&amp;")"</f>
        <v>Weighted WEST VIRGINIA JURISDICTION Plant (Ln 30 + 32)</v>
      </c>
      <c r="D58" s="615"/>
      <c r="E58" s="632">
        <f>+E55+E57</f>
        <v>0</v>
      </c>
      <c r="F58" s="615"/>
      <c r="G58" s="634">
        <f>+G55+G57</f>
        <v>0</v>
      </c>
      <c r="H58" s="615"/>
      <c r="I58" s="632">
        <f>+I55+I57</f>
        <v>0</v>
      </c>
      <c r="J58" s="615"/>
      <c r="K58" s="632">
        <f>+K55+K57</f>
        <v>0</v>
      </c>
      <c r="L58" s="615"/>
      <c r="M58" s="632">
        <f>SUM(E58:K58)-SUM(E57:K57)</f>
        <v>0</v>
      </c>
      <c r="O58" s="173"/>
    </row>
    <row r="59" spans="1:21" ht="19.5">
      <c r="A59" s="627">
        <f>+A58+1</f>
        <v>34</v>
      </c>
      <c r="B59" s="628"/>
      <c r="C59" s="615" t="str">
        <f>"Functional Percentage (Ln "&amp;A58&amp;"/Total Ln "&amp;A58&amp;")"</f>
        <v>Functional Percentage (Ln 33/Total Ln 33)</v>
      </c>
      <c r="D59" s="615"/>
      <c r="E59" s="633">
        <f>IF(E58=0,0,+E58/$M$58)</f>
        <v>0</v>
      </c>
      <c r="F59" s="615"/>
      <c r="G59" s="633">
        <v>1</v>
      </c>
      <c r="H59" s="615"/>
      <c r="I59" s="633">
        <f>IF(I58=0,0,+I58/$M$58)</f>
        <v>0</v>
      </c>
      <c r="J59" s="615"/>
      <c r="K59" s="173"/>
      <c r="L59" s="615"/>
      <c r="M59" s="632"/>
      <c r="O59" s="173"/>
    </row>
    <row r="60" spans="1:21" ht="19.5">
      <c r="A60" s="627"/>
      <c r="B60" s="628"/>
      <c r="C60" s="647" t="s">
        <v>613</v>
      </c>
      <c r="D60" s="615"/>
      <c r="E60" s="632"/>
      <c r="F60" s="615"/>
      <c r="G60" s="641"/>
      <c r="H60" s="615"/>
      <c r="I60" s="632"/>
      <c r="J60" s="615"/>
      <c r="K60" s="633"/>
      <c r="L60" s="615"/>
      <c r="M60" s="632"/>
      <c r="O60" s="173"/>
    </row>
    <row r="61" spans="1:21" ht="19.5">
      <c r="A61" s="627">
        <f>A59+1</f>
        <v>35</v>
      </c>
      <c r="B61" s="628"/>
      <c r="C61" s="648" t="str">
        <f>"Net Plant in "&amp;C60&amp;" (Ln "&amp;A48&amp;" - Ln "&amp;A51&amp;")"</f>
        <v>Net Plant in ____________ JURISDICTION (Ln 24 - Ln 26)</v>
      </c>
      <c r="D61" s="615"/>
      <c r="E61" s="632">
        <f>+E48-E51</f>
        <v>0</v>
      </c>
      <c r="F61" s="615"/>
      <c r="G61" s="632">
        <f>+G48-G51</f>
        <v>0</v>
      </c>
      <c r="H61" s="615"/>
      <c r="I61" s="632">
        <f>+I48-I51</f>
        <v>0</v>
      </c>
      <c r="J61" s="615"/>
      <c r="K61" s="632">
        <f>+K48-K51</f>
        <v>0</v>
      </c>
      <c r="L61" s="615"/>
      <c r="M61" s="632">
        <f>SUM(E61:K61)</f>
        <v>0</v>
      </c>
      <c r="O61" s="173"/>
    </row>
    <row r="62" spans="1:21" ht="19.5">
      <c r="A62" s="627">
        <f t="shared" ref="A62:A68" si="2">+A61+1</f>
        <v>36</v>
      </c>
      <c r="B62" s="628"/>
      <c r="C62" s="629" t="s">
        <v>540</v>
      </c>
      <c r="D62" s="615"/>
      <c r="E62" s="650"/>
      <c r="F62" s="615"/>
      <c r="G62" s="637"/>
      <c r="H62" s="615"/>
      <c r="I62" s="637"/>
      <c r="J62" s="615"/>
      <c r="K62" s="638"/>
      <c r="L62" s="615"/>
      <c r="M62" s="632"/>
      <c r="O62" s="173"/>
    </row>
    <row r="63" spans="1:21" ht="19.5">
      <c r="A63" s="627">
        <f t="shared" si="2"/>
        <v>37</v>
      </c>
      <c r="B63" s="628"/>
      <c r="C63" s="615" t="s">
        <v>241</v>
      </c>
      <c r="D63" s="615"/>
      <c r="E63" s="632">
        <f>+E61-E62</f>
        <v>0</v>
      </c>
      <c r="F63" s="615"/>
      <c r="G63" s="632">
        <f>+G61-G62</f>
        <v>0</v>
      </c>
      <c r="H63" s="615"/>
      <c r="I63" s="632">
        <f>+I61-I62</f>
        <v>0</v>
      </c>
      <c r="J63" s="615"/>
      <c r="K63" s="632">
        <f>+K61-K62</f>
        <v>0</v>
      </c>
      <c r="L63" s="615"/>
      <c r="M63" s="632">
        <f>SUM(E63:K63)</f>
        <v>0</v>
      </c>
      <c r="O63" s="173"/>
    </row>
    <row r="64" spans="1:21" ht="19.5">
      <c r="A64" s="627">
        <f t="shared" si="2"/>
        <v>38</v>
      </c>
      <c r="B64" s="628"/>
      <c r="C64" s="619" t="s">
        <v>240</v>
      </c>
      <c r="D64" s="615"/>
      <c r="E64" s="650"/>
      <c r="F64" s="636"/>
      <c r="G64" s="650"/>
      <c r="H64" s="636"/>
      <c r="I64" s="650"/>
      <c r="J64" s="636"/>
      <c r="K64" s="650"/>
      <c r="L64" s="615"/>
      <c r="M64" s="632"/>
      <c r="O64" s="173"/>
    </row>
    <row r="65" spans="1:15" ht="19.5">
      <c r="A65" s="627">
        <f t="shared" si="2"/>
        <v>39</v>
      </c>
      <c r="B65" s="628"/>
      <c r="C65" s="615" t="str">
        <f>"Weighted Net Plant (Ln "&amp;A63&amp;" * Ln "&amp;A64&amp;")"</f>
        <v>Weighted Net Plant (Ln 37 * Ln 38)</v>
      </c>
      <c r="D65" s="615"/>
      <c r="E65" s="632">
        <f>+E63*E64</f>
        <v>0</v>
      </c>
      <c r="F65" s="615"/>
      <c r="G65" s="632">
        <f>+G63*G64</f>
        <v>0</v>
      </c>
      <c r="H65" s="615"/>
      <c r="I65" s="632">
        <f>+I63*I64</f>
        <v>0</v>
      </c>
      <c r="J65" s="615"/>
      <c r="K65" s="632">
        <f>+K63*K64</f>
        <v>0</v>
      </c>
      <c r="L65" s="615"/>
      <c r="M65" s="632"/>
      <c r="O65" s="173"/>
    </row>
    <row r="66" spans="1:15" ht="19.5">
      <c r="A66" s="627">
        <f t="shared" si="2"/>
        <v>40</v>
      </c>
      <c r="B66" s="628"/>
      <c r="C66" s="615" t="str">
        <f>+"General Plant Allocator (Ln "&amp;A65&amp;" / (Total - General Plant)"</f>
        <v>General Plant Allocator (Ln 39 / (Total - General Plant)</v>
      </c>
      <c r="D66" s="615"/>
      <c r="E66" s="639">
        <f>IF(E64=0,0,+E65/($E65+$G65+$I65))</f>
        <v>0</v>
      </c>
      <c r="F66" s="615"/>
      <c r="G66" s="639">
        <v>1</v>
      </c>
      <c r="H66" s="615"/>
      <c r="I66" s="639">
        <f>IF(I64=0,0,+I65/($E65+$G65+$I65))</f>
        <v>0</v>
      </c>
      <c r="J66" s="615"/>
      <c r="K66" s="639">
        <v>-1</v>
      </c>
      <c r="L66" s="615"/>
      <c r="M66" s="632"/>
      <c r="O66" s="173"/>
    </row>
    <row r="67" spans="1:15" ht="19.5">
      <c r="A67" s="627">
        <f t="shared" si="2"/>
        <v>41</v>
      </c>
      <c r="B67" s="628"/>
      <c r="C67" s="615" t="str">
        <f>"Functionalized General Plant (Ln "&amp;A67&amp;" * General Plant)"</f>
        <v>Functionalized General Plant (Ln 41 * General Plant)</v>
      </c>
      <c r="D67" s="615"/>
      <c r="E67" s="640">
        <f>ROUND($K65*E66,0)</f>
        <v>0</v>
      </c>
      <c r="F67" s="615"/>
      <c r="G67" s="640">
        <f>ROUND($K65*G66,0)</f>
        <v>0</v>
      </c>
      <c r="H67" s="615"/>
      <c r="I67" s="640">
        <f>ROUND($K65*I66,0)</f>
        <v>0</v>
      </c>
      <c r="J67" s="615"/>
      <c r="K67" s="640">
        <f>ROUND($K65*K66,0)</f>
        <v>0</v>
      </c>
      <c r="L67" s="615"/>
      <c r="M67" s="632"/>
      <c r="O67" s="173"/>
    </row>
    <row r="68" spans="1:15" ht="19.5">
      <c r="A68" s="627">
        <f t="shared" si="2"/>
        <v>42</v>
      </c>
      <c r="B68" s="628"/>
      <c r="C68" s="649" t="str">
        <f>"Weighted "&amp;C60&amp;" Plant (Ln "&amp;A65&amp;" + "&amp;A67&amp;")"</f>
        <v>Weighted ____________ JURISDICTION Plant (Ln 39 + 41)</v>
      </c>
      <c r="D68" s="615"/>
      <c r="E68" s="632">
        <f>+E65+E67</f>
        <v>0</v>
      </c>
      <c r="F68" s="615"/>
      <c r="G68" s="634">
        <f>+G65+G67</f>
        <v>0</v>
      </c>
      <c r="H68" s="615"/>
      <c r="I68" s="632">
        <f>+I65+I67</f>
        <v>0</v>
      </c>
      <c r="J68" s="615"/>
      <c r="K68" s="632">
        <f>+K65+K67</f>
        <v>0</v>
      </c>
      <c r="L68" s="615"/>
      <c r="M68" s="632">
        <f>SUM(E68:K68)-SUM(E67:K67)</f>
        <v>0</v>
      </c>
      <c r="O68" s="173"/>
    </row>
    <row r="69" spans="1:15" ht="19.5">
      <c r="A69" s="627">
        <f>+A68+1</f>
        <v>43</v>
      </c>
      <c r="B69" s="628"/>
      <c r="C69" s="615" t="str">
        <f>"Functional Percentage (Ln "&amp;A68&amp;"/Total Ln "&amp;A68&amp;")"</f>
        <v>Functional Percentage (Ln 42/Total Ln 42)</v>
      </c>
      <c r="D69" s="615"/>
      <c r="E69" s="633">
        <f>IF(E68=0,0,+E68/$M$68)</f>
        <v>0</v>
      </c>
      <c r="F69" s="615"/>
      <c r="G69" s="633">
        <v>1</v>
      </c>
      <c r="H69" s="615"/>
      <c r="I69" s="633">
        <f>IF(I68=0,0,+I68/$M$68)</f>
        <v>0</v>
      </c>
      <c r="J69" s="173"/>
      <c r="K69" s="173"/>
      <c r="L69" s="615"/>
      <c r="M69" s="632"/>
      <c r="O69" s="173"/>
    </row>
    <row r="70" spans="1:15" ht="19.5">
      <c r="A70" s="627"/>
      <c r="B70" s="628"/>
      <c r="C70" s="615"/>
      <c r="D70" s="615"/>
      <c r="E70" s="619"/>
      <c r="F70" s="619"/>
      <c r="G70" s="619"/>
      <c r="H70" s="619"/>
      <c r="I70" s="619"/>
      <c r="J70" s="615"/>
      <c r="K70" s="642"/>
      <c r="L70" s="615"/>
      <c r="M70" s="619"/>
      <c r="O70" s="173"/>
    </row>
    <row r="71" spans="1:15" ht="19.5">
      <c r="A71" s="627"/>
      <c r="B71" s="628"/>
      <c r="D71" s="615"/>
      <c r="E71" s="642"/>
      <c r="F71" s="615"/>
      <c r="G71" s="642"/>
      <c r="H71" s="615"/>
      <c r="I71" s="642"/>
      <c r="J71" s="615"/>
      <c r="K71" s="642"/>
      <c r="L71" s="615"/>
      <c r="M71" s="619"/>
      <c r="O71" s="173"/>
    </row>
    <row r="72" spans="1:15" ht="12.75">
      <c r="O72" s="173"/>
    </row>
    <row r="73" spans="1:15" ht="12.75">
      <c r="O73" s="173"/>
    </row>
    <row r="74" spans="1:15" ht="12.75">
      <c r="G74" s="645"/>
      <c r="O74" s="173"/>
    </row>
    <row r="215" spans="7:7" ht="15.75" thickBot="1"/>
    <row r="216" spans="7:7" ht="20.25" thickBot="1">
      <c r="G216" s="646"/>
    </row>
  </sheetData>
  <mergeCells count="7">
    <mergeCell ref="A8:M8"/>
    <mergeCell ref="A7:M7"/>
    <mergeCell ref="C46:M46"/>
    <mergeCell ref="A3:M3"/>
    <mergeCell ref="A4:M4"/>
    <mergeCell ref="A5:M5"/>
    <mergeCell ref="A6:M6"/>
  </mergeCells>
  <phoneticPr fontId="71"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zoomScale="55" zoomScaleNormal="60" zoomScaleSheetLayoutView="55" workbookViewId="0">
      <selection activeCell="H15" sqref="H15"/>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row>
    <row r="2" spans="1:20" ht="15.75">
      <c r="A2" s="1006"/>
    </row>
    <row r="3" spans="1:20" ht="18.75" customHeight="1">
      <c r="A3" s="1482" t="str">
        <f>TCOS!$F$5</f>
        <v>AEPTCo subsidiaries in PJM</v>
      </c>
      <c r="B3" s="1482" t="str">
        <f>TCOS!$F$5</f>
        <v>AEPTCo subsidiaries in PJM</v>
      </c>
      <c r="C3" s="1482" t="str">
        <f>TCOS!$F$5</f>
        <v>AEPTCo subsidiaries in PJM</v>
      </c>
      <c r="D3" s="1482" t="str">
        <f>TCOS!$F$5</f>
        <v>AEPTCo subsidiaries in PJM</v>
      </c>
      <c r="E3" s="1482" t="str">
        <f>TCOS!$F$5</f>
        <v>AEPTCo subsidiaries in PJM</v>
      </c>
      <c r="F3" s="1520"/>
      <c r="G3" s="1520"/>
    </row>
    <row r="4" spans="1:20" ht="18.75" customHeight="1">
      <c r="A4" s="1482" t="str">
        <f>"Cost of Service Formula Rate Using Actual/Projected FF1 Balances"</f>
        <v>Cost of Service Formula Rate Using Actual/Projected FF1 Balances</v>
      </c>
      <c r="B4" s="1482"/>
      <c r="C4" s="1482"/>
      <c r="D4" s="1482"/>
      <c r="E4" s="1482"/>
      <c r="F4" s="1520"/>
      <c r="G4" s="1520"/>
      <c r="H4" s="1482"/>
      <c r="I4" s="1482"/>
      <c r="J4" s="1482"/>
      <c r="K4" s="1482"/>
      <c r="L4" s="1482"/>
      <c r="M4" s="1520"/>
    </row>
    <row r="5" spans="1:20" ht="18.75" customHeight="1">
      <c r="A5" s="1475" t="s">
        <v>246</v>
      </c>
      <c r="B5" s="1475"/>
      <c r="C5" s="1475"/>
      <c r="D5" s="1475"/>
      <c r="E5" s="1475"/>
      <c r="F5" s="1520"/>
      <c r="G5" s="1520"/>
    </row>
    <row r="6" spans="1:20" ht="18" customHeight="1">
      <c r="A6" s="1522" t="str">
        <f>+TCOS!F9</f>
        <v>West Virginia Transmission Company</v>
      </c>
      <c r="B6" s="1522"/>
      <c r="C6" s="1522"/>
      <c r="D6" s="1522"/>
      <c r="E6" s="1522"/>
      <c r="F6" s="1523"/>
      <c r="G6" s="1523"/>
      <c r="H6" s="133"/>
      <c r="I6" s="133"/>
      <c r="J6" s="133"/>
      <c r="K6" s="133"/>
      <c r="L6" s="133"/>
      <c r="M6" s="133"/>
    </row>
    <row r="7" spans="1:20" ht="18" customHeight="1">
      <c r="A7" s="81"/>
      <c r="B7" s="81"/>
      <c r="C7" s="81"/>
      <c r="D7" s="81"/>
      <c r="E7" s="81"/>
      <c r="F7" s="81"/>
    </row>
    <row r="8" spans="1:20" ht="19.5" customHeight="1">
      <c r="A8" s="61"/>
      <c r="B8" s="62"/>
      <c r="C8" s="19" t="s">
        <v>452</v>
      </c>
      <c r="E8" s="19" t="s">
        <v>453</v>
      </c>
      <c r="F8" s="116" t="s">
        <v>454</v>
      </c>
      <c r="G8" s="116" t="s">
        <v>455</v>
      </c>
    </row>
    <row r="9" spans="1:20" ht="18">
      <c r="A9" s="96"/>
      <c r="B9" s="97"/>
      <c r="C9" s="97"/>
      <c r="D9" s="97"/>
      <c r="E9"/>
      <c r="F9" s="7"/>
      <c r="G9" s="117"/>
      <c r="H9" s="21"/>
      <c r="I9" s="21"/>
      <c r="J9" s="21"/>
      <c r="K9" s="21"/>
      <c r="L9" s="21"/>
      <c r="M9" s="21"/>
      <c r="N9" s="21"/>
      <c r="O9" s="21"/>
      <c r="P9" s="21"/>
      <c r="Q9" s="21"/>
      <c r="R9" s="21"/>
      <c r="S9" s="21"/>
      <c r="T9" s="21"/>
    </row>
    <row r="10" spans="1:20" ht="18">
      <c r="A10" s="96" t="s">
        <v>459</v>
      </c>
      <c r="B10" s="97"/>
      <c r="C10" s="97"/>
      <c r="D10" s="97"/>
      <c r="E10" s="98" t="s">
        <v>410</v>
      </c>
      <c r="F10" s="118" t="s">
        <v>2</v>
      </c>
      <c r="G10" s="119"/>
    </row>
    <row r="11" spans="1:20" ht="18">
      <c r="A11" s="99" t="s">
        <v>409</v>
      </c>
      <c r="B11" s="120"/>
      <c r="C11" s="99" t="s">
        <v>260</v>
      </c>
      <c r="D11" s="120"/>
      <c r="E11" s="100" t="s">
        <v>473</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1">
        <v>0</v>
      </c>
      <c r="G15" s="124"/>
    </row>
    <row r="16" spans="1:20" ht="19.5">
      <c r="A16" s="61"/>
      <c r="B16" s="62"/>
      <c r="C16" s="57"/>
      <c r="D16" s="62"/>
      <c r="E16" s="123"/>
      <c r="F16" s="651"/>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59"/>
      <c r="B19" s="1260"/>
      <c r="C19" s="1262" t="s">
        <v>452</v>
      </c>
      <c r="D19" s="1262" t="s">
        <v>453</v>
      </c>
      <c r="E19" s="1263" t="s">
        <v>454</v>
      </c>
      <c r="F19" s="1263" t="s">
        <v>455</v>
      </c>
      <c r="G19" s="1263" t="s">
        <v>375</v>
      </c>
      <c r="H19" s="1264" t="s">
        <v>376</v>
      </c>
      <c r="I19" s="1263" t="s">
        <v>377</v>
      </c>
    </row>
    <row r="20" spans="1:9" ht="47.25">
      <c r="A20" s="1259"/>
      <c r="B20" s="1260"/>
      <c r="C20" s="1265" t="s">
        <v>697</v>
      </c>
      <c r="D20" s="1266" t="s">
        <v>693</v>
      </c>
      <c r="E20" s="1267" t="s">
        <v>694</v>
      </c>
      <c r="F20" s="1267" t="s">
        <v>695</v>
      </c>
      <c r="G20" s="1267" t="s">
        <v>4</v>
      </c>
      <c r="H20" s="1268" t="s">
        <v>696</v>
      </c>
      <c r="I20" s="1268" t="s">
        <v>698</v>
      </c>
    </row>
    <row r="21" spans="1:9" ht="19.5">
      <c r="A21" s="1259"/>
      <c r="B21" s="1260"/>
      <c r="C21" s="70"/>
      <c r="D21" s="1260"/>
      <c r="E21" s="128"/>
      <c r="F21" s="1014"/>
      <c r="G21" s="122"/>
      <c r="H21" s="122"/>
      <c r="I21" s="122"/>
    </row>
    <row r="22" spans="1:9" ht="58.5">
      <c r="A22" s="1259">
        <f>+A14+1</f>
        <v>3</v>
      </c>
      <c r="B22" s="1260"/>
      <c r="C22" s="1261" t="str">
        <f>"Real Estate and Personal Property Taxes Total
 (Ln "&amp;A23&amp;" + Ln "&amp;A30 &amp;" + Ln "&amp;A37&amp;" + Ln "&amp;A40&amp;")"</f>
        <v>Real Estate and Personal Property Taxes Total
 (Ln 4 + Ln 5 + Ln 6 + Ln 7)</v>
      </c>
      <c r="D22" s="1260"/>
      <c r="E22" s="1075">
        <f>E23+E30+E37+E40</f>
        <v>24053945</v>
      </c>
      <c r="F22" s="128"/>
      <c r="G22" s="70"/>
      <c r="H22" s="122"/>
      <c r="I22" s="1075">
        <f>I23+I30+I37+I40</f>
        <v>24053945</v>
      </c>
    </row>
    <row r="23" spans="1:9" ht="19.5">
      <c r="A23" s="61">
        <f>+A22+1</f>
        <v>4</v>
      </c>
      <c r="B23" s="62"/>
      <c r="C23" s="60" t="s">
        <v>609</v>
      </c>
      <c r="D23" s="60"/>
      <c r="E23" s="128">
        <f>SUM(F24:F29)</f>
        <v>24053945</v>
      </c>
      <c r="F23" s="123"/>
      <c r="G23" s="70"/>
      <c r="I23" s="128">
        <f>SUM(I24:I29)</f>
        <v>24053945</v>
      </c>
    </row>
    <row r="24" spans="1:9" ht="19.5">
      <c r="A24" s="61"/>
      <c r="B24" s="62"/>
      <c r="C24" s="60"/>
      <c r="D24" s="60"/>
      <c r="E24" s="128"/>
      <c r="F24" s="1071">
        <v>24053945</v>
      </c>
      <c r="G24" s="1016"/>
      <c r="H24" s="1015">
        <v>1</v>
      </c>
      <c r="I24" s="1014">
        <f t="shared" ref="I24:I29" si="0">F24*H24</f>
        <v>24053945</v>
      </c>
    </row>
    <row r="25" spans="1:9" ht="19.5">
      <c r="A25" s="61"/>
      <c r="B25" s="62"/>
      <c r="C25" s="60"/>
      <c r="D25" s="60"/>
      <c r="E25" s="128"/>
      <c r="F25" s="651"/>
      <c r="G25" s="1016"/>
      <c r="H25" s="1071"/>
      <c r="I25" s="1014">
        <f t="shared" si="0"/>
        <v>0</v>
      </c>
    </row>
    <row r="26" spans="1:9" ht="19.5">
      <c r="A26" s="61"/>
      <c r="B26" s="62"/>
      <c r="C26" s="60"/>
      <c r="D26" s="60"/>
      <c r="E26" s="128"/>
      <c r="F26" s="651"/>
      <c r="G26" s="1016"/>
      <c r="H26" s="1071"/>
      <c r="I26" s="1014">
        <f t="shared" si="0"/>
        <v>0</v>
      </c>
    </row>
    <row r="27" spans="1:9" ht="19.5">
      <c r="A27" s="61"/>
      <c r="B27" s="62"/>
      <c r="C27" s="60"/>
      <c r="D27" s="60"/>
      <c r="E27" s="128"/>
      <c r="F27" s="651"/>
      <c r="G27" s="1016"/>
      <c r="H27" s="1071"/>
      <c r="I27" s="1014">
        <f t="shared" si="0"/>
        <v>0</v>
      </c>
    </row>
    <row r="28" spans="1:9" ht="19.5">
      <c r="A28" s="61"/>
      <c r="B28" s="62"/>
      <c r="C28" s="60"/>
      <c r="D28" s="60"/>
      <c r="E28" s="128"/>
      <c r="F28" s="651"/>
      <c r="G28" s="1016"/>
      <c r="H28" s="1071"/>
      <c r="I28" s="1014">
        <f t="shared" si="0"/>
        <v>0</v>
      </c>
    </row>
    <row r="29" spans="1:9" ht="19.5">
      <c r="A29" s="61"/>
      <c r="B29" s="62"/>
      <c r="C29" s="60"/>
      <c r="D29" s="60"/>
      <c r="E29" s="128"/>
      <c r="F29" s="651"/>
      <c r="G29" s="1016"/>
      <c r="H29" s="1071"/>
      <c r="I29" s="1014">
        <f t="shared" si="0"/>
        <v>0</v>
      </c>
    </row>
    <row r="30" spans="1:9" ht="19.5">
      <c r="A30" s="61">
        <f>+A23+1</f>
        <v>5</v>
      </c>
      <c r="B30" s="62"/>
      <c r="C30" s="60" t="s">
        <v>610</v>
      </c>
      <c r="D30" s="60"/>
      <c r="E30" s="128">
        <f>SUM(F31:F36)</f>
        <v>0</v>
      </c>
      <c r="F30" s="80"/>
      <c r="G30" s="70"/>
      <c r="I30" s="1070">
        <f>SUM(I31:I36)</f>
        <v>0</v>
      </c>
    </row>
    <row r="31" spans="1:9" ht="19.5">
      <c r="A31" s="61"/>
      <c r="B31" s="62"/>
      <c r="C31" s="60"/>
      <c r="D31" s="60"/>
      <c r="E31" s="128"/>
      <c r="F31" s="1071">
        <v>0</v>
      </c>
      <c r="G31" s="1016"/>
      <c r="H31" s="1015"/>
      <c r="I31" s="1014">
        <f t="shared" ref="I31:I36" si="1">F31*H31</f>
        <v>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611</v>
      </c>
      <c r="D37" s="60"/>
      <c r="E37" s="128">
        <f>+F38+F39</f>
        <v>0</v>
      </c>
      <c r="F37" s="70"/>
      <c r="I37" s="1070">
        <f>SUM(I38:I39)</f>
        <v>0</v>
      </c>
    </row>
    <row r="38" spans="1:9" ht="19.5">
      <c r="A38" s="61"/>
      <c r="B38" s="62"/>
      <c r="C38" s="60"/>
      <c r="D38" s="60"/>
      <c r="E38" s="128"/>
      <c r="F38" s="1071">
        <v>0</v>
      </c>
      <c r="G38" s="1016"/>
      <c r="H38" s="1015"/>
      <c r="I38" s="1014">
        <f>F38*H38</f>
        <v>0</v>
      </c>
    </row>
    <row r="39" spans="1:9" ht="19.5">
      <c r="A39" s="61"/>
      <c r="B39" s="62"/>
      <c r="C39" s="60"/>
      <c r="D39" s="60"/>
      <c r="E39" s="128"/>
      <c r="F39" s="1071"/>
      <c r="G39" s="1016"/>
      <c r="H39" s="1071"/>
      <c r="I39" s="1014">
        <f>F39*H39</f>
        <v>0</v>
      </c>
    </row>
    <row r="40" spans="1:9" ht="19.5">
      <c r="A40" s="61">
        <f>+A37+1</f>
        <v>7</v>
      </c>
      <c r="B40" s="62"/>
      <c r="C40" s="60" t="s">
        <v>243</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452</v>
      </c>
      <c r="E44" s="19" t="s">
        <v>453</v>
      </c>
      <c r="F44" s="116" t="s">
        <v>454</v>
      </c>
      <c r="G44" s="116" t="s">
        <v>455</v>
      </c>
    </row>
    <row r="45" spans="1:9" ht="18">
      <c r="A45" s="96"/>
      <c r="B45" s="97"/>
      <c r="C45" s="97"/>
      <c r="D45" s="97"/>
      <c r="E45"/>
      <c r="F45" s="7"/>
      <c r="G45" s="117"/>
    </row>
    <row r="46" spans="1:9" ht="18">
      <c r="A46" s="96" t="s">
        <v>459</v>
      </c>
      <c r="B46" s="97"/>
      <c r="C46" s="97"/>
      <c r="D46" s="97"/>
      <c r="E46" s="98" t="s">
        <v>410</v>
      </c>
      <c r="F46" s="118" t="s">
        <v>2</v>
      </c>
      <c r="G46" s="119"/>
    </row>
    <row r="47" spans="1:9" ht="18">
      <c r="A47" s="99" t="s">
        <v>409</v>
      </c>
      <c r="B47" s="120"/>
      <c r="C47" s="99" t="s">
        <v>260</v>
      </c>
      <c r="D47" s="120"/>
      <c r="E47" s="100" t="s">
        <v>473</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1071">
        <v>0</v>
      </c>
      <c r="G51" s="124"/>
    </row>
    <row r="52" spans="1:7" ht="19.5">
      <c r="A52" s="61">
        <f>+A50+1</f>
        <v>10</v>
      </c>
      <c r="B52" s="62"/>
      <c r="C52" s="60" t="s">
        <v>109</v>
      </c>
      <c r="D52" s="62"/>
      <c r="E52" s="128">
        <f>+F53</f>
        <v>0</v>
      </c>
      <c r="F52" s="70"/>
      <c r="G52" s="70"/>
    </row>
    <row r="53" spans="1:7" ht="19.5">
      <c r="A53" s="61"/>
      <c r="B53" s="62"/>
      <c r="C53" s="60"/>
      <c r="D53" s="62"/>
      <c r="E53" s="128"/>
      <c r="F53" s="1071">
        <v>0</v>
      </c>
      <c r="G53" s="124"/>
    </row>
    <row r="54" spans="1:7" ht="19.5">
      <c r="A54" s="61">
        <f>+A52+1</f>
        <v>11</v>
      </c>
      <c r="B54" s="62"/>
      <c r="C54" s="60" t="s">
        <v>110</v>
      </c>
      <c r="D54" s="62"/>
      <c r="E54" s="128">
        <f>+F55+F56+F57</f>
        <v>0</v>
      </c>
      <c r="F54" s="70"/>
      <c r="G54" s="70"/>
    </row>
    <row r="55" spans="1:7" ht="19.5">
      <c r="A55" s="61" t="s">
        <v>406</v>
      </c>
      <c r="B55" s="62"/>
      <c r="C55" s="57"/>
      <c r="D55" s="62"/>
      <c r="E55" s="129"/>
      <c r="F55" s="1071">
        <v>0</v>
      </c>
      <c r="G55" s="124"/>
    </row>
    <row r="56" spans="1:7" ht="19.5">
      <c r="A56" s="61"/>
      <c r="B56" s="62"/>
      <c r="C56" s="57"/>
      <c r="D56" s="62"/>
      <c r="E56" s="129"/>
      <c r="F56" s="651"/>
      <c r="G56" s="124"/>
    </row>
    <row r="57" spans="1:7" ht="19.5">
      <c r="A57" s="61"/>
      <c r="B57" s="62"/>
      <c r="C57" s="57"/>
      <c r="D57" s="62"/>
      <c r="E57" s="129"/>
      <c r="F57" s="651"/>
      <c r="G57" s="124"/>
    </row>
    <row r="58" spans="1:7" ht="19.5">
      <c r="A58" s="61">
        <f>A54+1</f>
        <v>12</v>
      </c>
      <c r="B58" s="62"/>
      <c r="C58" s="135" t="s">
        <v>315</v>
      </c>
      <c r="D58" s="62"/>
      <c r="E58" s="134"/>
      <c r="F58" s="70"/>
      <c r="G58" s="70"/>
    </row>
    <row r="59" spans="1:7" ht="19.5">
      <c r="A59" s="61">
        <f>A58+1</f>
        <v>13</v>
      </c>
      <c r="B59" s="62"/>
      <c r="C59" s="70" t="s">
        <v>214</v>
      </c>
      <c r="D59" s="105"/>
      <c r="E59" s="128">
        <f>+F60</f>
        <v>0</v>
      </c>
      <c r="G59" s="70"/>
    </row>
    <row r="60" spans="1:7" ht="19.5">
      <c r="A60" s="61"/>
      <c r="B60" s="62"/>
      <c r="C60" s="57"/>
      <c r="D60" s="62"/>
      <c r="E60" s="129"/>
      <c r="F60" s="1071">
        <v>0</v>
      </c>
      <c r="G60" s="70"/>
    </row>
    <row r="61" spans="1:7" ht="19.5">
      <c r="A61" s="67">
        <f>A59+1</f>
        <v>14</v>
      </c>
      <c r="B61" s="68"/>
      <c r="C61" s="64" t="s">
        <v>117</v>
      </c>
      <c r="D61" s="69"/>
      <c r="E61" s="129"/>
      <c r="F61" s="123"/>
      <c r="G61" s="70"/>
    </row>
    <row r="62" spans="1:7" ht="19.5">
      <c r="A62" s="67">
        <f>A61+1</f>
        <v>15</v>
      </c>
      <c r="B62" s="68"/>
      <c r="C62" s="57" t="s">
        <v>213</v>
      </c>
      <c r="D62" s="69"/>
      <c r="E62" s="128">
        <f>+F63+F64</f>
        <v>0</v>
      </c>
      <c r="F62" s="70"/>
      <c r="G62" s="70"/>
    </row>
    <row r="63" spans="1:7" ht="19.5">
      <c r="A63" s="67"/>
      <c r="B63" s="68"/>
      <c r="C63" s="57"/>
      <c r="D63" s="69"/>
      <c r="E63" s="128"/>
      <c r="F63" s="1071">
        <v>0</v>
      </c>
      <c r="G63" s="124"/>
    </row>
    <row r="64" spans="1:7" ht="19.5">
      <c r="A64" s="67"/>
      <c r="B64" s="68"/>
      <c r="C64" s="57"/>
      <c r="D64" s="69"/>
      <c r="E64" s="128"/>
      <c r="F64" s="651"/>
      <c r="G64" s="124"/>
    </row>
    <row r="65" spans="1:7" ht="19.5">
      <c r="A65" s="61">
        <f>A62+1</f>
        <v>16</v>
      </c>
      <c r="B65" s="62"/>
      <c r="C65" s="57" t="s">
        <v>111</v>
      </c>
      <c r="D65" s="62"/>
      <c r="E65" s="80">
        <f>+F66+F67+F68</f>
        <v>0</v>
      </c>
      <c r="F65" s="70"/>
      <c r="G65" s="70"/>
    </row>
    <row r="66" spans="1:7" ht="19.5">
      <c r="A66" s="61"/>
      <c r="B66" s="62"/>
      <c r="C66" s="57"/>
      <c r="D66" s="62"/>
      <c r="E66" s="80"/>
      <c r="F66" s="1071">
        <v>0</v>
      </c>
      <c r="G66" s="124"/>
    </row>
    <row r="67" spans="1:7" ht="19.5">
      <c r="A67" s="61"/>
      <c r="B67" s="62"/>
      <c r="C67" s="57"/>
      <c r="D67" s="62"/>
      <c r="E67" s="80"/>
      <c r="F67" s="651"/>
      <c r="G67" s="124"/>
    </row>
    <row r="68" spans="1:7" ht="19.5">
      <c r="A68" s="61"/>
      <c r="B68" s="62"/>
      <c r="C68" s="57"/>
      <c r="D68" s="62"/>
      <c r="E68" s="80"/>
      <c r="F68" s="651"/>
      <c r="G68" s="124"/>
    </row>
    <row r="69" spans="1:7" ht="19.5">
      <c r="A69" s="61">
        <f>+A65+1</f>
        <v>17</v>
      </c>
      <c r="B69" s="62"/>
      <c r="C69" s="57" t="s">
        <v>112</v>
      </c>
      <c r="D69"/>
      <c r="E69" s="80">
        <f>SUM(F70:F80)</f>
        <v>0</v>
      </c>
      <c r="F69" s="70"/>
      <c r="G69" s="70"/>
    </row>
    <row r="70" spans="1:7" ht="19.5">
      <c r="A70" s="61"/>
      <c r="B70" s="62"/>
      <c r="C70" s="57"/>
      <c r="D70"/>
      <c r="E70" s="80"/>
      <c r="F70" s="1071">
        <v>0</v>
      </c>
      <c r="G70" s="124"/>
    </row>
    <row r="71" spans="1:7" ht="19.5">
      <c r="A71" s="61"/>
      <c r="B71" s="62"/>
      <c r="C71" s="57"/>
      <c r="D71"/>
      <c r="E71" s="80"/>
      <c r="F71" s="651"/>
      <c r="G71" s="124"/>
    </row>
    <row r="72" spans="1:7" ht="19.5">
      <c r="A72" s="61"/>
      <c r="B72" s="62"/>
      <c r="C72" s="57"/>
      <c r="D72"/>
      <c r="E72" s="80"/>
      <c r="F72" s="651"/>
      <c r="G72" s="124"/>
    </row>
    <row r="73" spans="1:7" ht="19.5">
      <c r="A73" s="61"/>
      <c r="B73" s="62"/>
      <c r="C73" s="57"/>
      <c r="D73"/>
      <c r="E73" s="80"/>
      <c r="F73" s="651"/>
      <c r="G73" s="124"/>
    </row>
    <row r="74" spans="1:7" ht="19.5">
      <c r="A74" s="61"/>
      <c r="B74" s="62"/>
      <c r="C74" s="57"/>
      <c r="D74"/>
      <c r="E74" s="80"/>
      <c r="F74" s="651"/>
      <c r="G74" s="124"/>
    </row>
    <row r="75" spans="1:7" ht="19.5">
      <c r="A75" s="61"/>
      <c r="B75" s="62"/>
      <c r="C75" s="57"/>
      <c r="D75"/>
      <c r="E75" s="80"/>
      <c r="F75" s="651"/>
      <c r="G75" s="124"/>
    </row>
    <row r="76" spans="1:7" ht="19.5">
      <c r="A76" s="61"/>
      <c r="B76" s="62"/>
      <c r="C76" s="57"/>
      <c r="D76"/>
      <c r="E76" s="80"/>
      <c r="F76" s="651"/>
      <c r="G76" s="124"/>
    </row>
    <row r="77" spans="1:7" ht="19.5">
      <c r="A77" s="61"/>
      <c r="B77" s="62"/>
      <c r="C77" s="57"/>
      <c r="D77"/>
      <c r="E77" s="80"/>
      <c r="F77" s="651"/>
      <c r="G77" s="124"/>
    </row>
    <row r="78" spans="1:7" ht="19.5">
      <c r="A78" s="61"/>
      <c r="B78" s="62"/>
      <c r="C78" s="57"/>
      <c r="D78"/>
      <c r="E78" s="80"/>
      <c r="F78" s="651"/>
      <c r="G78" s="124"/>
    </row>
    <row r="79" spans="1:7" ht="19.5">
      <c r="A79" s="61"/>
      <c r="B79" s="62"/>
      <c r="C79" s="57"/>
      <c r="D79"/>
      <c r="E79" s="80"/>
      <c r="F79" s="651"/>
      <c r="G79" s="124"/>
    </row>
    <row r="80" spans="1:7" ht="19.5">
      <c r="A80" s="61"/>
      <c r="B80" s="62"/>
      <c r="C80" s="57"/>
      <c r="D80"/>
      <c r="E80" s="80"/>
      <c r="F80" s="651"/>
      <c r="G80" s="124"/>
    </row>
    <row r="81" spans="1:7" ht="19.5">
      <c r="A81" s="61">
        <f>+A69+1</f>
        <v>18</v>
      </c>
      <c r="B81" s="62"/>
      <c r="C81" s="57" t="s">
        <v>113</v>
      </c>
      <c r="D81"/>
      <c r="E81" s="80">
        <f>SUM(F82:F85)</f>
        <v>0</v>
      </c>
      <c r="F81" s="70"/>
      <c r="G81" s="70"/>
    </row>
    <row r="82" spans="1:7" ht="19.5">
      <c r="A82" s="61"/>
      <c r="B82" s="62"/>
      <c r="C82" s="57"/>
      <c r="D82"/>
      <c r="E82" s="80"/>
      <c r="F82" s="1071">
        <v>0</v>
      </c>
      <c r="G82" s="124"/>
    </row>
    <row r="83" spans="1:7" ht="19.5">
      <c r="A83" s="61"/>
      <c r="B83" s="62"/>
      <c r="C83" s="57"/>
      <c r="D83"/>
      <c r="E83" s="80"/>
      <c r="F83" s="651"/>
      <c r="G83" s="124"/>
    </row>
    <row r="84" spans="1:7" ht="19.5">
      <c r="A84" s="61"/>
      <c r="B84" s="62"/>
      <c r="C84" s="57"/>
      <c r="D84"/>
      <c r="E84" s="80"/>
      <c r="F84" s="651"/>
      <c r="G84" s="124"/>
    </row>
    <row r="85" spans="1:7" ht="19.5">
      <c r="A85" s="61"/>
      <c r="B85" s="62"/>
      <c r="C85" s="57"/>
      <c r="D85"/>
      <c r="E85" s="80"/>
      <c r="F85" s="651"/>
      <c r="G85" s="124"/>
    </row>
    <row r="86" spans="1:7" ht="19.5">
      <c r="A86" s="61">
        <f>+A81+1</f>
        <v>19</v>
      </c>
      <c r="B86" s="62"/>
      <c r="C86" s="57" t="s">
        <v>114</v>
      </c>
      <c r="D86" s="62"/>
      <c r="E86" s="80">
        <f>F87</f>
        <v>0</v>
      </c>
      <c r="F86" s="70"/>
      <c r="G86" s="70"/>
    </row>
    <row r="87" spans="1:7" ht="19.5">
      <c r="A87" s="61"/>
      <c r="B87" s="62"/>
      <c r="C87" s="57"/>
      <c r="D87" s="62"/>
      <c r="E87" s="80"/>
      <c r="F87" s="1071">
        <v>0</v>
      </c>
      <c r="G87" s="124"/>
    </row>
    <row r="88" spans="1:7" ht="19.5">
      <c r="A88" s="61"/>
      <c r="B88" s="62"/>
      <c r="C88" s="57"/>
      <c r="D88" s="62"/>
      <c r="E88" s="80"/>
      <c r="F88" s="152"/>
      <c r="G88" s="70"/>
    </row>
    <row r="89" spans="1:7" ht="19.5">
      <c r="A89" s="61">
        <f>+A86+1</f>
        <v>20</v>
      </c>
      <c r="B89" s="62"/>
      <c r="C89" s="57" t="s">
        <v>115</v>
      </c>
      <c r="D89" s="62"/>
      <c r="E89" s="80">
        <f>SUM(F90:F94)</f>
        <v>0</v>
      </c>
      <c r="F89" s="70"/>
      <c r="G89" s="124"/>
    </row>
    <row r="90" spans="1:7" ht="19.5">
      <c r="A90" s="61"/>
      <c r="B90" s="62"/>
      <c r="C90" s="57"/>
      <c r="D90" s="62"/>
      <c r="E90" s="80"/>
      <c r="F90" s="1071">
        <v>0</v>
      </c>
      <c r="G90" s="124"/>
    </row>
    <row r="91" spans="1:7" ht="19.5">
      <c r="A91" s="61"/>
      <c r="B91" s="62"/>
      <c r="C91" s="57"/>
      <c r="D91" s="62"/>
      <c r="E91" s="80"/>
      <c r="F91" s="651"/>
      <c r="G91" s="124"/>
    </row>
    <row r="92" spans="1:7" ht="19.5">
      <c r="A92" s="61"/>
      <c r="B92" s="62"/>
      <c r="C92" s="57"/>
      <c r="D92" s="62"/>
      <c r="E92" s="80"/>
      <c r="F92" s="651"/>
      <c r="G92" s="124"/>
    </row>
    <row r="93" spans="1:7" ht="19.5">
      <c r="A93" s="61"/>
      <c r="B93" s="62"/>
      <c r="C93" s="57"/>
      <c r="D93" s="62"/>
      <c r="E93" s="80"/>
      <c r="F93" s="651"/>
      <c r="G93" s="124"/>
    </row>
    <row r="94" spans="1:7" ht="19.5">
      <c r="A94" s="61"/>
      <c r="B94" s="62"/>
      <c r="C94" s="57"/>
      <c r="D94" s="62"/>
      <c r="E94" s="80"/>
      <c r="F94" s="651"/>
      <c r="G94" s="124"/>
    </row>
    <row r="95" spans="1:7" ht="19.5">
      <c r="A95" s="61">
        <f>+A89+1</f>
        <v>21</v>
      </c>
      <c r="B95" s="57"/>
      <c r="C95" s="57" t="s">
        <v>104</v>
      </c>
      <c r="D95" s="57"/>
      <c r="E95" s="80">
        <f>SUM(F96:F97)</f>
        <v>0</v>
      </c>
      <c r="F95" s="127"/>
      <c r="G95" s="124"/>
    </row>
    <row r="96" spans="1:7" ht="19.5">
      <c r="A96" s="61"/>
      <c r="B96" s="57"/>
      <c r="C96" s="57"/>
      <c r="D96" s="57"/>
      <c r="E96" s="122"/>
      <c r="F96" s="1071">
        <v>0</v>
      </c>
      <c r="G96" s="124"/>
    </row>
    <row r="97" spans="1:7" ht="19.5">
      <c r="A97" s="61"/>
      <c r="B97" s="57"/>
      <c r="C97" s="57"/>
      <c r="D97" s="57"/>
      <c r="E97" s="122"/>
      <c r="F97" s="651"/>
      <c r="G97" s="124"/>
    </row>
    <row r="98" spans="1:7" ht="19.5">
      <c r="A98" s="61">
        <f>+A95+1</f>
        <v>22</v>
      </c>
      <c r="B98" s="57"/>
      <c r="C98" s="74" t="s">
        <v>398</v>
      </c>
      <c r="D98" s="70"/>
      <c r="E98" s="128">
        <f>+F99</f>
        <v>0</v>
      </c>
      <c r="G98" s="70"/>
    </row>
    <row r="99" spans="1:7" ht="19.5">
      <c r="A99" s="61"/>
      <c r="B99" s="57"/>
      <c r="C99" s="74"/>
      <c r="D99" s="70"/>
      <c r="E99" s="129"/>
      <c r="F99" s="1071">
        <v>0</v>
      </c>
      <c r="G99" s="70"/>
    </row>
    <row r="100" spans="1:7" ht="19.5">
      <c r="A100" s="4"/>
      <c r="B100" s="115"/>
      <c r="C100" s="115"/>
      <c r="D100"/>
      <c r="E100"/>
      <c r="F100" s="127"/>
      <c r="G100" s="70"/>
    </row>
    <row r="101" spans="1:7" ht="20.25" thickBot="1">
      <c r="A101" s="112">
        <f>+A98+1</f>
        <v>23</v>
      </c>
      <c r="B101" s="115"/>
      <c r="C101" s="57" t="s">
        <v>108</v>
      </c>
      <c r="D101"/>
      <c r="E101" s="73">
        <f>E22+E98+E95+E89+E86+E81+E69+E65+E62+E59+E54+E52+E50+E14</f>
        <v>24053945</v>
      </c>
      <c r="F101" s="73">
        <f>SUM(F14:F99)</f>
        <v>24053945</v>
      </c>
      <c r="G101" s="70"/>
    </row>
    <row r="102" spans="1:7" ht="20.25" thickTop="1">
      <c r="A102" s="4"/>
      <c r="B102" s="115"/>
      <c r="C102" s="57" t="s">
        <v>173</v>
      </c>
      <c r="D102"/>
      <c r="E102"/>
      <c r="F102" s="70"/>
      <c r="G102" s="70"/>
    </row>
    <row r="103" spans="1:7" ht="19.5">
      <c r="A103" s="4"/>
      <c r="B103" s="115"/>
      <c r="C103" s="57"/>
      <c r="D103"/>
      <c r="E103"/>
      <c r="F103" s="80" t="s">
        <v>406</v>
      </c>
      <c r="G103" s="70"/>
    </row>
    <row r="104" spans="1:7" ht="21.75" customHeight="1">
      <c r="A104" s="1521" t="s">
        <v>771</v>
      </c>
      <c r="B104" s="1521"/>
      <c r="C104" s="1521"/>
      <c r="D104" s="1521"/>
      <c r="E104" s="1521"/>
      <c r="F104" s="1521"/>
      <c r="G104" s="1521"/>
    </row>
    <row r="105" spans="1:7" ht="21.75" customHeight="1">
      <c r="A105" s="1521"/>
      <c r="B105" s="1521"/>
      <c r="C105" s="1521"/>
      <c r="D105" s="1521"/>
      <c r="E105" s="1521"/>
      <c r="F105" s="1521"/>
      <c r="G105" s="1521"/>
    </row>
    <row r="106" spans="1:7" ht="21.75" customHeight="1">
      <c r="A106" s="1521"/>
      <c r="B106" s="1521"/>
      <c r="C106" s="1521"/>
      <c r="D106" s="1521"/>
      <c r="E106" s="1521"/>
      <c r="F106" s="1521"/>
      <c r="G106" s="1521"/>
    </row>
    <row r="107" spans="1:7" ht="21.75" customHeight="1">
      <c r="A107" s="1521"/>
      <c r="B107" s="1521"/>
      <c r="C107" s="1521"/>
      <c r="D107" s="1521"/>
      <c r="E107" s="1521"/>
      <c r="F107" s="1521"/>
      <c r="G107" s="1521"/>
    </row>
    <row r="108" spans="1:7" ht="21.75" customHeight="1">
      <c r="A108" s="1521"/>
      <c r="B108" s="1521"/>
      <c r="C108" s="1521"/>
      <c r="D108" s="1521"/>
      <c r="E108" s="1521"/>
      <c r="F108" s="1521"/>
      <c r="G108" s="1521"/>
    </row>
    <row r="109" spans="1:7" ht="19.5">
      <c r="A109" s="1269"/>
      <c r="B109" s="79"/>
      <c r="C109" s="79"/>
      <c r="D109" s="79"/>
      <c r="E109" s="1270"/>
      <c r="F109" s="70"/>
      <c r="G109" s="70"/>
    </row>
    <row r="110" spans="1:7" ht="30" customHeight="1">
      <c r="A110" s="1519" t="s">
        <v>699</v>
      </c>
      <c r="B110" s="1519"/>
      <c r="C110" s="1519"/>
      <c r="D110" s="1519"/>
      <c r="E110" s="1519"/>
      <c r="F110" s="1519"/>
      <c r="G110" s="1519"/>
    </row>
    <row r="111" spans="1:7" ht="30" customHeight="1">
      <c r="A111" s="1519"/>
      <c r="B111" s="1519"/>
      <c r="C111" s="1519"/>
      <c r="D111" s="1519"/>
      <c r="E111" s="1519"/>
      <c r="F111" s="1519"/>
      <c r="G111" s="1519"/>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1"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view="pageBreakPreview" zoomScale="60" zoomScaleNormal="100" workbookViewId="0">
      <selection activeCell="A2" sqref="A1:A2"/>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row>
    <row r="2" spans="1:13" ht="15.75">
      <c r="A2" s="1006"/>
    </row>
    <row r="3" spans="1:13" ht="18">
      <c r="A3" s="1525" t="str">
        <f>TCOS!$F$5</f>
        <v>AEPTCo subsidiaries in PJM</v>
      </c>
      <c r="B3" s="1525" t="str">
        <f>TCOS!$F$5</f>
        <v>AEPTCo subsidiaries in PJM</v>
      </c>
      <c r="C3" s="1525" t="str">
        <f>TCOS!$F$5</f>
        <v>AEPTCo subsidiaries in PJM</v>
      </c>
      <c r="D3" s="1525" t="str">
        <f>TCOS!$F$5</f>
        <v>AEPTCo subsidiaries in PJM</v>
      </c>
      <c r="E3" s="1525" t="str">
        <f>TCOS!$F$5</f>
        <v>AEPTCo subsidiaries in PJM</v>
      </c>
      <c r="F3" s="1525" t="str">
        <f>TCOS!$F$5</f>
        <v>AEPTCo subsidiaries in PJM</v>
      </c>
      <c r="G3" s="1525" t="str">
        <f>TCOS!$F$5</f>
        <v>AEPTCo subsidiaries in PJM</v>
      </c>
      <c r="H3" s="1525" t="str">
        <f>TCOS!$F$5</f>
        <v>AEPTCo subsidiaries in PJM</v>
      </c>
      <c r="I3" s="1525" t="str">
        <f>TCOS!$F$5</f>
        <v>AEPTCo subsidiaries in PJM</v>
      </c>
      <c r="J3" s="1525" t="str">
        <f>TCOS!$F$5</f>
        <v>AEPTCo subsidiaries in PJM</v>
      </c>
      <c r="K3" s="77"/>
      <c r="L3" s="77"/>
      <c r="M3" s="77"/>
    </row>
    <row r="4" spans="1:13" ht="18">
      <c r="A4" s="1524" t="str">
        <f>"Cost of Service Formula Rate Using Actual/Projected FF1 Balances"</f>
        <v>Cost of Service Formula Rate Using Actual/Projected FF1 Balances</v>
      </c>
      <c r="B4" s="1524"/>
      <c r="C4" s="1524"/>
      <c r="D4" s="1524"/>
      <c r="E4" s="1524"/>
      <c r="F4" s="1524"/>
      <c r="G4" s="1524"/>
      <c r="H4" s="1524"/>
      <c r="I4" s="1524"/>
      <c r="J4" s="1524"/>
      <c r="K4" s="52"/>
      <c r="L4" s="52"/>
      <c r="M4" s="52"/>
    </row>
    <row r="5" spans="1:13" ht="18">
      <c r="A5" s="1524" t="s">
        <v>587</v>
      </c>
      <c r="B5" s="1524"/>
      <c r="C5" s="1524"/>
      <c r="D5" s="1524"/>
      <c r="E5" s="1524"/>
      <c r="F5" s="1524"/>
      <c r="G5" s="1524"/>
      <c r="H5" s="1524"/>
      <c r="I5" s="1524"/>
      <c r="J5" s="1524"/>
      <c r="K5" s="78"/>
      <c r="L5" s="78"/>
      <c r="M5" s="78"/>
    </row>
    <row r="6" spans="1:13" ht="18">
      <c r="A6" s="1516" t="str">
        <f>+TCOS!F9</f>
        <v>West Virginia Transmission Company</v>
      </c>
      <c r="B6" s="1516"/>
      <c r="C6" s="1516"/>
      <c r="D6" s="1516"/>
      <c r="E6" s="1516"/>
      <c r="F6" s="1516"/>
      <c r="G6" s="1516"/>
      <c r="H6" s="1516"/>
      <c r="I6" s="1516"/>
      <c r="J6" s="1516"/>
      <c r="K6" s="81"/>
      <c r="L6" s="81"/>
      <c r="M6" s="81"/>
    </row>
    <row r="7" spans="1:13">
      <c r="H7" s="82"/>
    </row>
    <row r="8" spans="1:13" ht="15.75">
      <c r="D8" s="150" t="s">
        <v>554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tint="-0.14999847407452621"/>
  </sheetPr>
  <dimension ref="A1:Q1070"/>
  <sheetViews>
    <sheetView view="pageBreakPreview" zoomScale="70" zoomScaleNormal="100" zoomScaleSheetLayoutView="70" workbookViewId="0">
      <selection activeCell="G8" sqref="G8"/>
    </sheetView>
  </sheetViews>
  <sheetFormatPr defaultColWidth="8.85546875" defaultRowHeight="12.75"/>
  <cols>
    <col min="1" max="1" width="4.7109375" style="173" customWidth="1"/>
    <col min="2" max="2" width="6.7109375" style="393" customWidth="1"/>
    <col min="3" max="3" width="26.42578125" style="173" customWidth="1"/>
    <col min="4" max="4" width="17.7109375" style="273" customWidth="1"/>
    <col min="5" max="7" width="17.7109375" style="173" customWidth="1"/>
    <col min="8" max="8" width="17.7109375" style="488" customWidth="1"/>
    <col min="9" max="9" width="17.7109375" style="173" bestFit="1" customWidth="1"/>
    <col min="10" max="10" width="2.140625" style="156" customWidth="1"/>
    <col min="11" max="11" width="26.42578125" style="173" customWidth="1"/>
    <col min="12" max="12" width="20.855468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row>
    <row r="2" spans="1:16" ht="15.75">
      <c r="A2" s="1006"/>
    </row>
    <row r="3" spans="1:16"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1474" t="str">
        <f>TCOS!$F$5</f>
        <v>AEPTCo subsidiaries in PJM</v>
      </c>
      <c r="K3" s="1474" t="str">
        <f>TCOS!$F$5</f>
        <v>AEPTCo subsidiaries in PJM</v>
      </c>
      <c r="L3" s="1474" t="str">
        <f>TCOS!$F$5</f>
        <v>AEPTCo subsidiaries in PJM</v>
      </c>
      <c r="M3" s="1474" t="str">
        <f>TCOS!$F$5</f>
        <v>AEPTCo subsidiaries in PJM</v>
      </c>
      <c r="N3" s="1474" t="str">
        <f>TCOS!$F$5</f>
        <v>AEPTCo subsidiaries in PJM</v>
      </c>
      <c r="O3" s="1474" t="str">
        <f>TCOS!$F$5</f>
        <v>AEPTCo subsidiaries in PJM</v>
      </c>
      <c r="P3" s="156"/>
    </row>
    <row r="4" spans="1:16" ht="15">
      <c r="A4" s="1502" t="str">
        <f>"Cost of Service Formula Rate Using Actual/Projected FF1 Balances"</f>
        <v>Cost of Service Formula Rate Using Actual/Projected FF1 Balances</v>
      </c>
      <c r="B4" s="1502"/>
      <c r="C4" s="1502"/>
      <c r="D4" s="1502"/>
      <c r="E4" s="1502"/>
      <c r="F4" s="1502"/>
      <c r="G4" s="1502"/>
      <c r="H4" s="1502"/>
      <c r="I4" s="1502"/>
      <c r="J4" s="1502"/>
      <c r="K4" s="1502"/>
      <c r="L4" s="1502"/>
      <c r="M4" s="1502"/>
      <c r="N4" s="1502"/>
      <c r="O4" s="1502"/>
      <c r="P4" s="156"/>
    </row>
    <row r="5" spans="1:16" ht="15">
      <c r="A5" s="1502" t="s">
        <v>256</v>
      </c>
      <c r="B5" s="1502"/>
      <c r="C5" s="1502"/>
      <c r="D5" s="1502"/>
      <c r="E5" s="1502"/>
      <c r="F5" s="1502"/>
      <c r="G5" s="1502"/>
      <c r="H5" s="1502"/>
      <c r="I5" s="1502"/>
      <c r="J5" s="1502"/>
      <c r="K5" s="1502"/>
      <c r="L5" s="1502"/>
      <c r="M5" s="1502"/>
      <c r="N5" s="1502"/>
      <c r="O5" s="1502"/>
      <c r="P5" s="156"/>
    </row>
    <row r="6" spans="1:16" ht="15">
      <c r="A6" s="1503" t="str">
        <f>TCOS!F9</f>
        <v>West Virginia Transmission Company</v>
      </c>
      <c r="B6" s="1503"/>
      <c r="C6" s="1503"/>
      <c r="D6" s="1503"/>
      <c r="E6" s="1503"/>
      <c r="F6" s="1503"/>
      <c r="G6" s="1503"/>
      <c r="H6" s="1503"/>
      <c r="I6" s="1503"/>
      <c r="J6" s="1503"/>
      <c r="K6" s="1503"/>
      <c r="L6" s="1503"/>
      <c r="M6" s="1503"/>
      <c r="N6" s="1503"/>
      <c r="O6" s="1503"/>
      <c r="P6" s="156"/>
    </row>
    <row r="7" spans="1:16">
      <c r="P7" s="156"/>
    </row>
    <row r="8" spans="1:16" ht="20.25">
      <c r="A8" s="652"/>
      <c r="C8" s="393"/>
      <c r="N8" s="653" t="str">
        <f>"Page "&amp;P8&amp;" of "</f>
        <v xml:space="preserve">Page 1 of </v>
      </c>
      <c r="O8" s="654">
        <f>COUNT(P$8:P$56653)</f>
        <v>12</v>
      </c>
      <c r="P8" s="655">
        <v>1</v>
      </c>
    </row>
    <row r="9" spans="1:16" ht="18">
      <c r="C9" s="656"/>
      <c r="P9" s="156"/>
    </row>
    <row r="10" spans="1:16">
      <c r="P10" s="156"/>
    </row>
    <row r="11" spans="1:16" ht="18">
      <c r="B11" s="657" t="s">
        <v>461</v>
      </c>
      <c r="C11" s="1529" t="str">
        <f>"Calculate Return and Income Taxes with "&amp;F17&amp;" basis point ROE increase for Projects Qualified for Regional Billing."</f>
        <v>Calculate Return and Income Taxes with 0 basis point ROE increase for Projects Qualified for Regional Billing.</v>
      </c>
      <c r="D11" s="1530"/>
      <c r="E11" s="1530"/>
      <c r="F11" s="1530"/>
      <c r="G11" s="1530"/>
      <c r="H11" s="1530"/>
      <c r="P11" s="156"/>
    </row>
    <row r="12" spans="1:16" ht="18.75" customHeight="1">
      <c r="C12" s="1530"/>
      <c r="D12" s="1530"/>
      <c r="E12" s="1530"/>
      <c r="F12" s="1530"/>
      <c r="G12" s="1530"/>
      <c r="H12" s="1530"/>
      <c r="P12" s="156"/>
    </row>
    <row r="13" spans="1:16" ht="15.75" customHeight="1">
      <c r="C13" s="658"/>
      <c r="D13" s="658"/>
      <c r="E13" s="658"/>
      <c r="F13" s="658"/>
      <c r="G13" s="658"/>
      <c r="H13" s="658"/>
      <c r="P13" s="156"/>
    </row>
    <row r="14" spans="1:16" ht="15.75">
      <c r="C14" s="659" t="str">
        <f>"A.   Determine 'R' with hypothetical "&amp;F17&amp;" basis point increase in ROE for Identified Projects"</f>
        <v>A.   Determine 'R' with hypothetical 0 basis point increase in ROE for Identified Projects</v>
      </c>
      <c r="P14" s="156"/>
    </row>
    <row r="15" spans="1:16">
      <c r="P15" s="156"/>
    </row>
    <row r="16" spans="1:16">
      <c r="C16" s="660" t="str">
        <f>"   ROE w/o incentives  (TCOS, ln "&amp;TCOS!B235&amp;")"</f>
        <v xml:space="preserve">   ROE w/o incentives  (TCOS, ln 138)</v>
      </c>
      <c r="E16" s="661"/>
      <c r="F16" s="662">
        <f>TCOS!J235</f>
        <v>0.10349999999999999</v>
      </c>
      <c r="G16" s="661"/>
      <c r="H16" s="663"/>
      <c r="I16" s="663"/>
      <c r="J16" s="664"/>
      <c r="K16" s="663"/>
      <c r="L16" s="663"/>
      <c r="M16" s="663"/>
      <c r="N16" s="663"/>
      <c r="O16" s="663"/>
      <c r="P16" s="664"/>
    </row>
    <row r="17" spans="3:16">
      <c r="C17" s="660" t="s">
        <v>43</v>
      </c>
      <c r="E17" s="661"/>
      <c r="F17" s="805">
        <v>0</v>
      </c>
      <c r="G17" s="665"/>
      <c r="H17" s="663"/>
      <c r="I17" s="663"/>
      <c r="J17" s="664"/>
    </row>
    <row r="18" spans="3:16">
      <c r="C18" s="660" t="str">
        <f>"   ROE with additional "&amp;F17&amp;" basis point incentive"</f>
        <v xml:space="preserve">   ROE with additional 0 basis point incentive</v>
      </c>
      <c r="D18" s="661"/>
      <c r="E18" s="661"/>
      <c r="F18" s="666">
        <f>IF((F16+(F17/10000)&gt;0.1274),"ERROR",F16+(F17/10000))</f>
        <v>0.10349999999999999</v>
      </c>
      <c r="G18" s="667"/>
      <c r="H18" s="663"/>
      <c r="I18" s="663"/>
      <c r="J18" s="664"/>
    </row>
    <row r="19" spans="3:16">
      <c r="C19" s="660"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1"/>
      <c r="F19" s="668"/>
      <c r="G19" s="661"/>
      <c r="H19" s="663"/>
      <c r="I19" s="663"/>
      <c r="J19" s="664"/>
    </row>
    <row r="20" spans="3:16">
      <c r="C20" s="664"/>
      <c r="D20" s="669" t="s">
        <v>436</v>
      </c>
      <c r="E20" s="669" t="s">
        <v>435</v>
      </c>
      <c r="F20" s="670" t="s">
        <v>44</v>
      </c>
      <c r="G20" s="661"/>
      <c r="H20" s="663"/>
      <c r="I20" s="663"/>
      <c r="J20" s="664"/>
    </row>
    <row r="21" spans="3:16" ht="13.5" thickBot="1">
      <c r="C21" s="671" t="s">
        <v>48</v>
      </c>
      <c r="D21" s="672">
        <f>TCOS!H233</f>
        <v>0.44727811942692608</v>
      </c>
      <c r="E21" s="673">
        <f>TCOS!J233</f>
        <v>4.0442957936623808E-2</v>
      </c>
      <c r="F21" s="674">
        <f>E21*D21</f>
        <v>1.808925016995537E-2</v>
      </c>
      <c r="G21" s="661"/>
      <c r="H21" s="663"/>
      <c r="I21" s="675"/>
      <c r="J21" s="676"/>
      <c r="K21" s="440"/>
      <c r="L21" s="440"/>
      <c r="M21" s="440"/>
      <c r="N21" s="440"/>
      <c r="O21" s="440"/>
    </row>
    <row r="22" spans="3:16">
      <c r="C22" s="671" t="s">
        <v>49</v>
      </c>
      <c r="D22" s="672">
        <f>TCOS!H234</f>
        <v>0</v>
      </c>
      <c r="E22" s="673">
        <f>TCOS!J234</f>
        <v>0</v>
      </c>
      <c r="F22" s="674">
        <f>E22*D22</f>
        <v>0</v>
      </c>
      <c r="G22" s="677"/>
      <c r="H22" s="677"/>
      <c r="I22" s="678"/>
      <c r="J22" s="679"/>
      <c r="K22" s="1532" t="s">
        <v>231</v>
      </c>
      <c r="L22" s="1533"/>
      <c r="M22" s="1533"/>
      <c r="N22" s="1533"/>
      <c r="O22" s="1534"/>
      <c r="P22" s="679"/>
    </row>
    <row r="23" spans="3:16">
      <c r="C23" s="680" t="s">
        <v>29</v>
      </c>
      <c r="D23" s="672">
        <f>TCOS!H235</f>
        <v>0.55272188057307403</v>
      </c>
      <c r="E23" s="673">
        <f>+F18</f>
        <v>0.10349999999999999</v>
      </c>
      <c r="F23" s="681">
        <f>E23*D23</f>
        <v>5.7206714639313157E-2</v>
      </c>
      <c r="G23" s="677"/>
      <c r="H23" s="677"/>
      <c r="I23" s="678"/>
      <c r="J23" s="679"/>
      <c r="K23" s="1535"/>
      <c r="L23" s="1536"/>
      <c r="M23" s="1536"/>
      <c r="N23" s="1536"/>
      <c r="O23" s="1537"/>
      <c r="P23" s="679"/>
    </row>
    <row r="24" spans="3:16">
      <c r="C24" s="660"/>
      <c r="D24" s="173"/>
      <c r="E24" s="682" t="s">
        <v>50</v>
      </c>
      <c r="F24" s="674">
        <f>SUM(F21:F23)</f>
        <v>7.5295964809268534E-2</v>
      </c>
      <c r="G24" s="677"/>
      <c r="H24" s="677"/>
      <c r="I24" s="678"/>
      <c r="J24" s="679"/>
      <c r="K24" s="683"/>
      <c r="L24" s="684"/>
      <c r="M24" s="685" t="s">
        <v>45</v>
      </c>
      <c r="N24" s="685" t="s">
        <v>46</v>
      </c>
      <c r="O24" s="686" t="s">
        <v>47</v>
      </c>
      <c r="P24" s="679"/>
    </row>
    <row r="25" spans="3:16">
      <c r="C25" s="314"/>
      <c r="D25" s="687"/>
      <c r="E25" s="687"/>
      <c r="F25" s="677"/>
      <c r="G25" s="677"/>
      <c r="H25" s="677"/>
      <c r="I25" s="677"/>
      <c r="J25" s="688"/>
      <c r="K25" s="689"/>
      <c r="L25" s="690"/>
      <c r="M25" s="690"/>
      <c r="N25" s="690"/>
      <c r="O25" s="691"/>
      <c r="P25" s="688"/>
    </row>
    <row r="26" spans="3:16" ht="16.5" thickBot="1">
      <c r="C26" s="659" t="str">
        <f>"B.   Determine Return using 'R' with hypothetical "&amp;F17&amp;" basis point ROE increase for Identified Projects."</f>
        <v>B.   Determine Return using 'R' with hypothetical 0 basis point ROE increase for Identified Projects.</v>
      </c>
      <c r="D26" s="687"/>
      <c r="E26" s="687"/>
      <c r="F26" s="692"/>
      <c r="G26" s="677"/>
      <c r="H26" s="661"/>
      <c r="I26" s="677"/>
      <c r="J26" s="688"/>
      <c r="K26" s="693" t="s">
        <v>51</v>
      </c>
      <c r="L26" s="694">
        <f>+TCOS!L4</f>
        <v>2025</v>
      </c>
      <c r="M26" s="959">
        <f>N88+N178+N268+N358+N448+N538+N628+N718+N808+N898+N988</f>
        <v>49352636.364293709</v>
      </c>
      <c r="N26" s="959">
        <f>N89+N179+N269+N359+N449+N539+N629+N719+N809+N899+N989</f>
        <v>49352636.364293709</v>
      </c>
      <c r="O26" s="695">
        <f>+N26-M26</f>
        <v>0</v>
      </c>
      <c r="P26" s="688"/>
    </row>
    <row r="27" spans="3:16">
      <c r="C27" s="664"/>
      <c r="D27" s="687"/>
      <c r="E27" s="687"/>
      <c r="F27" s="688"/>
      <c r="G27" s="688"/>
      <c r="H27" s="688"/>
      <c r="I27" s="688"/>
      <c r="J27" s="688"/>
      <c r="K27" s="696"/>
      <c r="L27" s="696"/>
      <c r="M27" s="697"/>
      <c r="N27" s="696"/>
      <c r="O27" s="696"/>
      <c r="P27" s="688"/>
    </row>
    <row r="28" spans="3:16">
      <c r="C28" s="660" t="str">
        <f>"   Rate Base  (TCOS, ln "&amp;TCOS!B112&amp;")"</f>
        <v xml:space="preserve">   Rate Base  (TCOS, ln 58)</v>
      </c>
      <c r="D28" s="661"/>
      <c r="F28" s="698">
        <f>TCOS!L112</f>
        <v>2343861144.1342559</v>
      </c>
      <c r="G28" s="688"/>
      <c r="H28" s="688"/>
      <c r="I28" s="688"/>
      <c r="J28" s="688"/>
      <c r="K28" s="696"/>
      <c r="L28" s="696"/>
      <c r="M28" s="696"/>
      <c r="N28" s="696"/>
      <c r="O28" s="699"/>
      <c r="P28" s="688"/>
    </row>
    <row r="29" spans="3:16">
      <c r="C29" s="664" t="s">
        <v>276</v>
      </c>
      <c r="D29" s="700"/>
      <c r="F29" s="674">
        <f>F24</f>
        <v>7.5295964809268534E-2</v>
      </c>
      <c r="G29" s="688"/>
      <c r="H29" s="688"/>
      <c r="I29" s="688"/>
      <c r="J29" s="688"/>
      <c r="K29" s="688"/>
      <c r="L29" s="688"/>
      <c r="M29" s="688"/>
      <c r="N29" s="688"/>
      <c r="O29" s="688"/>
      <c r="P29" s="688"/>
    </row>
    <row r="30" spans="3:16">
      <c r="C30" s="701" t="s">
        <v>53</v>
      </c>
      <c r="D30" s="701"/>
      <c r="F30" s="678">
        <f>F28*F29</f>
        <v>176483286.22654483</v>
      </c>
      <c r="G30" s="688"/>
      <c r="H30" s="688"/>
      <c r="I30" s="679"/>
      <c r="J30" s="679"/>
      <c r="K30" s="679"/>
      <c r="L30" s="679"/>
      <c r="M30" s="679"/>
      <c r="N30" s="679"/>
      <c r="O30" s="688"/>
      <c r="P30" s="679"/>
    </row>
    <row r="31" spans="3:16">
      <c r="C31" s="702"/>
      <c r="D31" s="663"/>
      <c r="E31" s="663"/>
      <c r="F31" s="688"/>
      <c r="G31" s="688"/>
      <c r="H31" s="688"/>
      <c r="I31" s="679"/>
      <c r="J31" s="679"/>
      <c r="K31" s="679"/>
      <c r="L31" s="679"/>
      <c r="M31" s="679"/>
      <c r="N31" s="679"/>
      <c r="O31" s="688"/>
      <c r="P31" s="679"/>
    </row>
    <row r="32" spans="3:16"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5"/>
      <c r="J32" s="705"/>
      <c r="K32" s="705"/>
      <c r="L32" s="705"/>
      <c r="M32" s="705"/>
      <c r="N32" s="705"/>
      <c r="O32" s="704"/>
      <c r="P32" s="705"/>
    </row>
    <row r="33" spans="2:16">
      <c r="C33" s="660"/>
      <c r="D33" s="663"/>
      <c r="E33" s="663"/>
      <c r="F33" s="688"/>
      <c r="G33" s="688"/>
      <c r="H33" s="688"/>
      <c r="I33" s="679"/>
      <c r="J33" s="679"/>
      <c r="K33" s="679"/>
      <c r="L33" s="679"/>
      <c r="M33" s="679"/>
      <c r="N33" s="679"/>
      <c r="O33" s="688"/>
      <c r="P33" s="679"/>
    </row>
    <row r="34" spans="2:16">
      <c r="C34" s="664" t="s">
        <v>54</v>
      </c>
      <c r="D34" s="682"/>
      <c r="F34" s="706">
        <f>F30</f>
        <v>176483286.22654483</v>
      </c>
      <c r="G34" s="688"/>
      <c r="H34" s="688"/>
      <c r="I34" s="688"/>
      <c r="J34" s="688"/>
      <c r="K34" s="688"/>
      <c r="L34" s="688"/>
      <c r="M34" s="688"/>
      <c r="N34" s="688"/>
      <c r="O34" s="688"/>
      <c r="P34" s="688"/>
    </row>
    <row r="35" spans="2:16">
      <c r="C35" s="660" t="str">
        <f>"   Effective Tax Rate  (TCOS, ln "&amp;TCOS!B170&amp;")"</f>
        <v xml:space="preserve">   Effective Tax Rate  (TCOS, ln 97)</v>
      </c>
      <c r="D35" s="538"/>
      <c r="F35" s="707">
        <f>TCOS!G170</f>
        <v>0.26766713034902878</v>
      </c>
      <c r="G35" s="314"/>
      <c r="H35" s="708"/>
      <c r="I35" s="314"/>
      <c r="J35" s="427"/>
      <c r="K35" s="314"/>
      <c r="L35" s="314"/>
      <c r="M35" s="314"/>
      <c r="N35" s="314"/>
      <c r="O35" s="314"/>
      <c r="P35" s="427"/>
    </row>
    <row r="36" spans="2:16">
      <c r="C36" s="702" t="s">
        <v>55</v>
      </c>
      <c r="D36" s="538"/>
      <c r="F36" s="709">
        <f>F34*F35</f>
        <v>47238774.778825529</v>
      </c>
      <c r="G36" s="314"/>
      <c r="H36" s="708"/>
      <c r="I36" s="314"/>
      <c r="J36" s="427"/>
      <c r="K36" s="314"/>
      <c r="L36" s="314"/>
      <c r="M36" s="314"/>
      <c r="N36" s="314"/>
      <c r="O36" s="314"/>
      <c r="P36" s="427"/>
    </row>
    <row r="37" spans="2:16" ht="15">
      <c r="C37" s="660" t="s">
        <v>97</v>
      </c>
      <c r="D37" s="326"/>
      <c r="F37" s="710">
        <f>TCOS!L178</f>
        <v>0</v>
      </c>
      <c r="G37" s="326"/>
      <c r="H37" s="326"/>
      <c r="I37" s="326"/>
      <c r="J37" s="326"/>
      <c r="K37" s="326"/>
      <c r="L37" s="326"/>
      <c r="M37" s="326"/>
      <c r="N37" s="326"/>
      <c r="O37" s="231"/>
      <c r="P37" s="326"/>
    </row>
    <row r="38" spans="2:16" ht="15">
      <c r="C38" s="660" t="s">
        <v>550</v>
      </c>
      <c r="D38" s="326"/>
      <c r="F38" s="710">
        <f>TCOS!L179</f>
        <v>733744.98717158835</v>
      </c>
      <c r="G38" s="326"/>
      <c r="H38" s="326"/>
      <c r="I38" s="326"/>
      <c r="J38" s="326"/>
      <c r="K38" s="326"/>
      <c r="L38" s="326"/>
      <c r="M38" s="326"/>
      <c r="N38" s="326"/>
      <c r="O38" s="231"/>
      <c r="P38" s="326"/>
    </row>
    <row r="39" spans="2:16" ht="15.75" thickBot="1">
      <c r="C39" s="660" t="s">
        <v>552</v>
      </c>
      <c r="D39" s="326"/>
      <c r="F39" s="711">
        <f>TCOS!L180</f>
        <v>794252.44571004959</v>
      </c>
      <c r="G39" s="326"/>
      <c r="H39" s="326"/>
      <c r="I39" s="326"/>
      <c r="J39" s="326"/>
      <c r="K39" s="326"/>
      <c r="L39" s="326"/>
      <c r="M39" s="326"/>
      <c r="N39" s="326"/>
      <c r="O39" s="231"/>
      <c r="P39" s="326"/>
    </row>
    <row r="40" spans="2:16" ht="15">
      <c r="C40" s="702" t="s">
        <v>56</v>
      </c>
      <c r="D40" s="326"/>
      <c r="F40" s="710">
        <f>F36+F37+F38+F39</f>
        <v>48766772.211707167</v>
      </c>
      <c r="G40" s="962"/>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7" t="s">
        <v>462</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6" t="str">
        <f>"basis point ROE increase."</f>
        <v>basis point ROE increase.</v>
      </c>
      <c r="D43" s="326"/>
      <c r="E43" s="326"/>
      <c r="F43" s="326"/>
      <c r="G43" s="326"/>
      <c r="H43" s="326"/>
      <c r="I43" s="326"/>
      <c r="J43" s="326"/>
      <c r="K43" s="326"/>
      <c r="L43" s="326"/>
      <c r="M43" s="326"/>
      <c r="N43" s="326"/>
      <c r="O43" s="189"/>
      <c r="P43" s="326"/>
    </row>
    <row r="44" spans="2:16" ht="12.75" customHeight="1">
      <c r="C44" s="656"/>
      <c r="D44" s="326"/>
      <c r="E44" s="326"/>
      <c r="F44" s="326"/>
      <c r="G44" s="326"/>
      <c r="H44" s="326"/>
      <c r="I44" s="326"/>
      <c r="J44" s="326"/>
      <c r="K44" s="326"/>
      <c r="L44" s="326"/>
      <c r="M44" s="326"/>
      <c r="N44" s="326"/>
      <c r="O44" s="189"/>
      <c r="P44" s="326"/>
    </row>
    <row r="45" spans="2:16" ht="15.75">
      <c r="C45" s="659" t="s">
        <v>253</v>
      </c>
      <c r="D45" s="326"/>
      <c r="E45" s="326"/>
      <c r="F45" s="325"/>
      <c r="G45" s="326"/>
      <c r="H45" s="326"/>
      <c r="I45" s="326"/>
      <c r="J45" s="326"/>
      <c r="K45" s="326"/>
      <c r="L45" s="326"/>
      <c r="M45" s="326"/>
      <c r="N45" s="326"/>
      <c r="O45" s="189"/>
      <c r="P45" s="326"/>
    </row>
    <row r="46" spans="2:16">
      <c r="B46" s="348"/>
      <c r="C46" s="712"/>
      <c r="D46" s="713"/>
      <c r="E46" s="713"/>
      <c r="F46" s="713"/>
      <c r="G46" s="713"/>
      <c r="H46" s="713"/>
      <c r="I46" s="713"/>
      <c r="J46" s="713"/>
      <c r="K46" s="713"/>
      <c r="L46" s="713"/>
      <c r="M46" s="713"/>
      <c r="N46" s="713"/>
      <c r="O46" s="710"/>
      <c r="P46" s="713"/>
    </row>
    <row r="47" spans="2:16" ht="12.75" customHeight="1">
      <c r="B47" s="348"/>
      <c r="C47" s="660" t="str">
        <f>"   Annual Revenue Requirement  (TCOS, ln "&amp;TCOS!B13&amp;")"</f>
        <v xml:space="preserve">   Annual Revenue Requirement  (TCOS, ln 1)</v>
      </c>
      <c r="D47" s="713"/>
      <c r="E47" s="713"/>
      <c r="G47" s="710">
        <f>TCOS!L13</f>
        <v>356061928.80645388</v>
      </c>
      <c r="H47" s="963"/>
      <c r="I47" s="713"/>
      <c r="J47" s="713"/>
      <c r="K47" s="713"/>
      <c r="L47" s="713"/>
      <c r="M47" s="713"/>
      <c r="N47" s="713"/>
      <c r="O47" s="710"/>
      <c r="P47" s="713"/>
    </row>
    <row r="48" spans="2:16" ht="12.75" customHeight="1">
      <c r="B48" s="348"/>
      <c r="C48" s="712" t="str">
        <f>"   Lease Payments (TCOS, Ln "&amp;TCOS!B150&amp;")"</f>
        <v xml:space="preserve">   Lease Payments (TCOS, Ln 80)</v>
      </c>
      <c r="D48" s="713"/>
      <c r="E48" s="713"/>
      <c r="G48" s="710">
        <f>+TCOS!L150</f>
        <v>0</v>
      </c>
      <c r="H48" s="963"/>
      <c r="I48" s="713"/>
      <c r="J48" s="713"/>
      <c r="K48" s="713"/>
      <c r="L48" s="713"/>
      <c r="M48" s="713"/>
      <c r="N48" s="713"/>
      <c r="O48" s="710"/>
      <c r="P48" s="713"/>
    </row>
    <row r="49" spans="2:16">
      <c r="B49" s="348"/>
      <c r="C49" s="660" t="str">
        <f>"   Return  (TCOS, ln "&amp;TCOS!B183&amp;")"</f>
        <v xml:space="preserve">   Return  (TCOS, ln 109)</v>
      </c>
      <c r="D49" s="713"/>
      <c r="E49" s="713"/>
      <c r="G49" s="715">
        <f>TCOS!L183</f>
        <v>176081000.57752141</v>
      </c>
      <c r="H49" s="964"/>
      <c r="I49" s="713"/>
      <c r="J49" s="716"/>
      <c r="K49" s="716"/>
      <c r="L49" s="716"/>
      <c r="M49" s="716"/>
      <c r="N49" s="716"/>
      <c r="O49" s="710"/>
      <c r="P49" s="716"/>
    </row>
    <row r="50" spans="2:16">
      <c r="B50" s="348"/>
      <c r="C50" s="660" t="str">
        <f>"   Income Taxes  (TCOS, ln "&amp;TCOS!B181&amp;")"</f>
        <v xml:space="preserve">   Income Taxes  (TCOS, ln 108)</v>
      </c>
      <c r="D50" s="713"/>
      <c r="E50" s="713"/>
      <c r="G50" s="717">
        <f>F40</f>
        <v>48766772.211707167</v>
      </c>
      <c r="H50" s="963"/>
      <c r="I50" s="713"/>
      <c r="J50" s="718"/>
      <c r="K50" s="718"/>
      <c r="L50" s="718"/>
      <c r="M50" s="718"/>
      <c r="N50" s="718"/>
      <c r="O50" s="713"/>
      <c r="P50" s="718"/>
    </row>
    <row r="51" spans="2:16">
      <c r="B51" s="348"/>
      <c r="C51" s="725" t="s">
        <v>607</v>
      </c>
      <c r="D51" s="713"/>
      <c r="E51" s="713"/>
      <c r="G51" s="715">
        <f>G47-G49-G50-G48</f>
        <v>131214156.0172253</v>
      </c>
      <c r="H51" s="715"/>
      <c r="I51" s="713"/>
      <c r="J51" s="719"/>
      <c r="K51" s="719"/>
      <c r="L51" s="719"/>
      <c r="M51" s="719"/>
      <c r="N51" s="719"/>
      <c r="O51" s="719"/>
      <c r="P51" s="719"/>
    </row>
    <row r="52" spans="2:16">
      <c r="B52" s="348"/>
      <c r="C52" s="712"/>
      <c r="D52" s="713"/>
      <c r="E52" s="713"/>
      <c r="F52" s="710"/>
      <c r="G52" s="720"/>
      <c r="H52" s="721"/>
      <c r="I52" s="713"/>
      <c r="J52" s="721"/>
      <c r="K52" s="721"/>
      <c r="L52" s="721"/>
      <c r="M52" s="721"/>
      <c r="N52" s="721"/>
      <c r="O52" s="721"/>
      <c r="P52" s="721"/>
    </row>
    <row r="53" spans="2:16" ht="15.75">
      <c r="B53" s="348"/>
      <c r="C53" s="659" t="str">
        <f>"B.   Determine Annual Revenue Requirement with hypothetical "&amp;F17&amp;" basis point increase in ROE."</f>
        <v>B.   Determine Annual Revenue Requirement with hypothetical 0 basis point increase in ROE.</v>
      </c>
      <c r="D53" s="722"/>
      <c r="E53" s="722"/>
      <c r="F53" s="710"/>
      <c r="G53" s="720"/>
      <c r="H53" s="721"/>
      <c r="I53" s="721"/>
      <c r="J53" s="721"/>
      <c r="K53" s="721"/>
      <c r="L53" s="721"/>
      <c r="M53" s="721"/>
      <c r="N53" s="721"/>
      <c r="O53" s="721"/>
      <c r="P53" s="721"/>
    </row>
    <row r="54" spans="2:16">
      <c r="B54" s="348"/>
      <c r="C54" s="712"/>
      <c r="D54" s="722"/>
      <c r="E54" s="722"/>
      <c r="F54" s="710"/>
      <c r="G54" s="720"/>
      <c r="H54" s="721"/>
      <c r="I54" s="721"/>
      <c r="J54" s="721"/>
      <c r="K54" s="721"/>
      <c r="L54" s="721"/>
      <c r="M54" s="721"/>
      <c r="N54" s="721"/>
      <c r="O54" s="721"/>
      <c r="P54" s="721"/>
    </row>
    <row r="55" spans="2:16">
      <c r="B55" s="348"/>
      <c r="C55" s="712" t="str">
        <f>C51</f>
        <v xml:space="preserve">   Annual Revenue Requirement, Less Return and Taxes</v>
      </c>
      <c r="D55" s="722"/>
      <c r="E55" s="722"/>
      <c r="G55" s="710">
        <f>G51</f>
        <v>131214156.0172253</v>
      </c>
      <c r="H55" s="710"/>
      <c r="I55" s="713"/>
      <c r="J55" s="713"/>
      <c r="K55" s="713"/>
      <c r="L55" s="713"/>
      <c r="M55" s="713"/>
      <c r="N55" s="713"/>
      <c r="O55" s="723"/>
      <c r="P55" s="713"/>
    </row>
    <row r="56" spans="2:16">
      <c r="B56" s="348"/>
      <c r="C56" s="664" t="s">
        <v>94</v>
      </c>
      <c r="D56" s="724"/>
      <c r="E56" s="725"/>
      <c r="G56" s="726">
        <f>F30</f>
        <v>176483286.22654483</v>
      </c>
      <c r="H56" s="965"/>
      <c r="I56" s="713"/>
      <c r="J56" s="725"/>
      <c r="K56" s="725"/>
      <c r="L56" s="725"/>
      <c r="M56" s="725"/>
      <c r="N56" s="725"/>
      <c r="O56" s="725"/>
      <c r="P56" s="725"/>
    </row>
    <row r="57" spans="2:16" ht="12.75" customHeight="1">
      <c r="B57" s="348"/>
      <c r="C57" s="660" t="s">
        <v>62</v>
      </c>
      <c r="D57" s="713"/>
      <c r="E57" s="713"/>
      <c r="G57" s="717">
        <f>F40</f>
        <v>48766772.211707167</v>
      </c>
      <c r="H57" s="963"/>
      <c r="I57" s="713"/>
      <c r="J57" s="427"/>
      <c r="K57" s="314"/>
      <c r="L57" s="314"/>
      <c r="M57" s="314"/>
      <c r="N57" s="314"/>
      <c r="O57" s="314"/>
      <c r="P57" s="427"/>
    </row>
    <row r="58" spans="2:16">
      <c r="B58" s="348"/>
      <c r="C58" s="725" t="str">
        <f>"   Annual Revenue Requirement, with "&amp;F17&amp;" Basis Point ROE increase"</f>
        <v xml:space="preserve">   Annual Revenue Requirement, with 0 Basis Point ROE increase</v>
      </c>
      <c r="D58" s="538"/>
      <c r="E58" s="314"/>
      <c r="G58" s="709">
        <f>SUM(G55:G57)</f>
        <v>356464214.4554773</v>
      </c>
      <c r="H58" s="966"/>
      <c r="I58" s="713"/>
      <c r="J58" s="427"/>
      <c r="K58" s="314"/>
      <c r="L58" s="314"/>
      <c r="M58" s="314"/>
      <c r="N58" s="314"/>
      <c r="O58" s="314"/>
      <c r="P58" s="427"/>
    </row>
    <row r="59" spans="2:16">
      <c r="B59" s="348"/>
      <c r="C59" s="660" t="str">
        <f>"   Depreciation &amp; Amortization (TCOS, ln "&amp;TCOS!B154&amp;")"</f>
        <v xml:space="preserve">   Depreciation &amp; Amortization (TCOS, ln 83)</v>
      </c>
      <c r="D59" s="538"/>
      <c r="E59" s="314"/>
      <c r="G59" s="727">
        <f>TCOS!L154</f>
        <v>73521205.394835889</v>
      </c>
      <c r="H59" s="966"/>
      <c r="I59" s="713"/>
      <c r="J59" s="427"/>
      <c r="K59" s="314"/>
      <c r="L59" s="314"/>
      <c r="M59" s="314"/>
      <c r="N59" s="314"/>
      <c r="O59" s="314"/>
      <c r="P59" s="427"/>
    </row>
    <row r="60" spans="2:16">
      <c r="B60" s="348"/>
      <c r="C60" s="725" t="str">
        <f>"   Annual Rev. Req, w/"&amp;F17&amp;" Basis Point ROE increase, less Depreciation"</f>
        <v xml:space="preserve">   Annual Rev. Req, w/0 Basis Point ROE increase, less Depreciation</v>
      </c>
      <c r="D60" s="538"/>
      <c r="E60" s="314"/>
      <c r="G60" s="709">
        <f>G58-G59</f>
        <v>282943009.06064141</v>
      </c>
      <c r="H60" s="966"/>
      <c r="I60" s="713"/>
      <c r="J60" s="427"/>
      <c r="K60" s="314"/>
      <c r="L60" s="314"/>
      <c r="M60" s="314"/>
      <c r="N60" s="314"/>
      <c r="O60" s="314"/>
      <c r="P60" s="427"/>
    </row>
    <row r="61" spans="2:16">
      <c r="B61" s="348"/>
      <c r="C61" s="314"/>
      <c r="D61" s="538"/>
      <c r="E61" s="314"/>
      <c r="F61" s="314"/>
      <c r="G61" s="314"/>
      <c r="H61" s="967"/>
      <c r="I61" s="713"/>
      <c r="J61" s="427"/>
      <c r="K61" s="314"/>
      <c r="L61" s="314"/>
      <c r="M61" s="314"/>
      <c r="N61" s="314"/>
      <c r="O61" s="314"/>
      <c r="P61" s="427"/>
    </row>
    <row r="62" spans="2:16" ht="15.75">
      <c r="B62" s="348"/>
      <c r="C62" s="659" t="str">
        <f>"C.   Determine FCR with hypothetical "&amp;F17&amp;" basis point ROE increase."</f>
        <v>C.   Determine FCR with hypothetical 0 basis point ROE increase.</v>
      </c>
      <c r="D62" s="538"/>
      <c r="E62" s="314"/>
      <c r="F62" s="314"/>
      <c r="G62" s="314"/>
      <c r="H62" s="967"/>
      <c r="I62" s="713"/>
      <c r="J62" s="427"/>
      <c r="K62" s="314"/>
      <c r="L62" s="314"/>
      <c r="M62" s="314"/>
      <c r="N62" s="314"/>
      <c r="O62" s="314"/>
      <c r="P62" s="427"/>
    </row>
    <row r="63" spans="2:16">
      <c r="B63" s="348"/>
      <c r="C63" s="314"/>
      <c r="D63" s="538"/>
      <c r="E63" s="314"/>
      <c r="F63" s="314"/>
      <c r="G63" s="314"/>
      <c r="H63" s="967"/>
      <c r="I63" s="713"/>
      <c r="J63" s="427"/>
      <c r="K63" s="314"/>
      <c r="L63" s="314"/>
      <c r="M63" s="314"/>
      <c r="N63" s="314"/>
      <c r="O63" s="314"/>
      <c r="P63" s="427"/>
    </row>
    <row r="64" spans="2:16">
      <c r="B64" s="348"/>
      <c r="C64" s="660" t="str">
        <f>"   Net Transmission Plant  (Projected TCOS, ln "&amp;TCOS!B79&amp;")"</f>
        <v xml:space="preserve">   Net Transmission Plant  (Projected TCOS, ln 33)</v>
      </c>
      <c r="D64" s="538"/>
      <c r="E64" s="314"/>
      <c r="G64" s="709">
        <f>TCOS!L79</f>
        <v>2496318452.9076829</v>
      </c>
      <c r="H64" s="966"/>
      <c r="I64" s="713"/>
      <c r="J64" s="427"/>
      <c r="K64" s="314"/>
      <c r="L64" s="314"/>
      <c r="M64" s="314"/>
      <c r="N64" s="314"/>
      <c r="O64" s="314"/>
      <c r="P64" s="427"/>
    </row>
    <row r="65" spans="2:17">
      <c r="B65" s="348"/>
      <c r="C65" s="725" t="str">
        <f>"   Annual Revenue Requirement, with "&amp;F17&amp;" Basis Point ROE increase"</f>
        <v xml:space="preserve">   Annual Revenue Requirement, with 0 Basis Point ROE increase</v>
      </c>
      <c r="D65" s="538"/>
      <c r="E65" s="314"/>
      <c r="G65" s="709">
        <f>G58</f>
        <v>356464214.4554773</v>
      </c>
      <c r="H65" s="966"/>
      <c r="I65" s="713"/>
      <c r="J65" s="427"/>
      <c r="K65" s="314"/>
      <c r="L65" s="314"/>
      <c r="M65" s="314"/>
      <c r="N65" s="314"/>
      <c r="O65" s="314"/>
      <c r="P65" s="427"/>
    </row>
    <row r="66" spans="2:17">
      <c r="B66" s="348"/>
      <c r="C66" s="725" t="str">
        <f>"   FCR with "&amp;F17&amp;" Basis Point increase in ROE"</f>
        <v xml:space="preserve">   FCR with 0 Basis Point increase in ROE</v>
      </c>
      <c r="D66" s="538"/>
      <c r="E66" s="314"/>
      <c r="G66" s="707">
        <f>IF(G64=0,0,G65/G64)</f>
        <v>0.14279596981718093</v>
      </c>
      <c r="H66" s="968"/>
      <c r="I66" s="713"/>
      <c r="J66" s="427"/>
      <c r="K66" s="314"/>
      <c r="L66" s="314"/>
      <c r="M66" s="314"/>
      <c r="N66" s="314"/>
      <c r="O66" s="314"/>
      <c r="P66" s="427"/>
    </row>
    <row r="67" spans="2:17">
      <c r="B67" s="348"/>
      <c r="C67" s="209"/>
      <c r="D67" s="538"/>
      <c r="E67" s="314"/>
      <c r="G67" s="348"/>
      <c r="H67" s="958"/>
      <c r="I67" s="713"/>
      <c r="J67" s="427"/>
      <c r="K67" s="314"/>
      <c r="L67" s="314"/>
      <c r="M67" s="314"/>
      <c r="N67" s="314"/>
      <c r="O67" s="314"/>
      <c r="P67" s="427"/>
    </row>
    <row r="68" spans="2:17">
      <c r="B68" s="348"/>
      <c r="C68" s="725" t="str">
        <f>"   Annual Rev. Req, w / "&amp;F17&amp;" Basis Point ROE increase, less Dep."</f>
        <v xml:space="preserve">   Annual Rev. Req, w / 0 Basis Point ROE increase, less Dep.</v>
      </c>
      <c r="D68" s="538"/>
      <c r="E68" s="314"/>
      <c r="G68" s="709">
        <f>G60</f>
        <v>282943009.06064141</v>
      </c>
      <c r="H68" s="966"/>
      <c r="I68" s="713"/>
      <c r="J68" s="427"/>
      <c r="K68" s="314"/>
      <c r="L68" s="314"/>
      <c r="M68" s="314"/>
      <c r="N68" s="314"/>
      <c r="O68" s="314"/>
      <c r="P68" s="427"/>
    </row>
    <row r="69" spans="2:17">
      <c r="B69" s="348"/>
      <c r="C69" s="725" t="str">
        <f>"   FCR with "&amp;F17&amp;" Basis Point ROE increase, less Depreciation"</f>
        <v xml:space="preserve">   FCR with 0 Basis Point ROE increase, less Depreciation</v>
      </c>
      <c r="D69" s="538"/>
      <c r="E69" s="314"/>
      <c r="G69" s="707">
        <f>IF(G64=0,0,G68/G64)</f>
        <v>0.1133441163049821</v>
      </c>
      <c r="H69" s="968"/>
      <c r="I69" s="728"/>
      <c r="J69" s="427"/>
      <c r="K69" s="314"/>
      <c r="L69" s="314"/>
      <c r="M69" s="314"/>
      <c r="N69" s="314"/>
      <c r="O69" s="314"/>
      <c r="P69" s="427"/>
    </row>
    <row r="70" spans="2:17">
      <c r="B70" s="348"/>
      <c r="C70" s="660" t="str">
        <f>"   FCR less Depreciation  (TCOS, ln "&amp;TCOS!B31&amp;")"</f>
        <v xml:space="preserve">   FCR less Depreciation  (TCOS, ln 10)</v>
      </c>
      <c r="D70" s="538"/>
      <c r="E70" s="314"/>
      <c r="G70" s="729">
        <f>TCOS!L31</f>
        <v>0.11318296473052861</v>
      </c>
      <c r="H70" s="969"/>
      <c r="I70" s="728"/>
      <c r="J70" s="427"/>
      <c r="K70" s="314"/>
      <c r="L70" s="314"/>
      <c r="M70" s="314"/>
      <c r="N70" s="314"/>
      <c r="O70" s="314"/>
      <c r="P70" s="427"/>
    </row>
    <row r="71" spans="2:17">
      <c r="B71" s="348"/>
      <c r="C71" s="725" t="str">
        <f>"   Incremental FCR with "&amp;F17&amp;" Basis Point ROE increase, less Depreciation"</f>
        <v xml:space="preserve">   Incremental FCR with 0 Basis Point ROE increase, less Depreciation</v>
      </c>
      <c r="D71" s="538"/>
      <c r="E71" s="314"/>
      <c r="G71" s="707">
        <f>G69-G70</f>
        <v>1.6115157445349693E-4</v>
      </c>
      <c r="H71" s="968"/>
      <c r="I71" s="713"/>
      <c r="J71" s="427"/>
      <c r="K71" s="314"/>
      <c r="L71" s="314"/>
      <c r="M71" s="314"/>
      <c r="N71" s="314"/>
      <c r="O71" s="314"/>
      <c r="P71" s="427"/>
    </row>
    <row r="72" spans="2:17">
      <c r="B72" s="348"/>
      <c r="C72" s="725"/>
      <c r="D72" s="538"/>
      <c r="E72" s="314"/>
      <c r="F72" s="707"/>
      <c r="G72" s="314"/>
      <c r="H72" s="967"/>
      <c r="I72" s="314"/>
      <c r="J72" s="427"/>
      <c r="K72" s="314"/>
      <c r="L72" s="314"/>
      <c r="M72" s="314"/>
      <c r="N72" s="314"/>
      <c r="O72" s="314"/>
      <c r="P72" s="427"/>
    </row>
    <row r="73" spans="2:17" ht="18.75">
      <c r="B73" s="657" t="s">
        <v>463</v>
      </c>
      <c r="C73" s="656" t="s">
        <v>63</v>
      </c>
      <c r="D73" s="538"/>
      <c r="E73" s="314"/>
      <c r="F73" s="707"/>
      <c r="G73" s="314"/>
      <c r="H73" s="967"/>
      <c r="I73" s="314"/>
      <c r="J73" s="427"/>
      <c r="K73" s="314"/>
      <c r="L73" s="314"/>
      <c r="M73" s="314"/>
      <c r="N73" s="314"/>
      <c r="O73" s="314"/>
      <c r="P73" s="427"/>
    </row>
    <row r="74" spans="2:17">
      <c r="B74" s="348"/>
      <c r="C74" s="725"/>
      <c r="D74" s="538"/>
      <c r="E74" s="314"/>
      <c r="F74" s="707"/>
      <c r="G74" s="314"/>
      <c r="H74" s="967"/>
      <c r="I74" s="314"/>
      <c r="J74" s="427"/>
      <c r="K74" s="314"/>
      <c r="L74" s="314"/>
      <c r="M74" s="314"/>
      <c r="N74" s="314"/>
      <c r="O74" s="314"/>
      <c r="P74" s="427"/>
    </row>
    <row r="75" spans="2:17">
      <c r="B75" s="348"/>
      <c r="C75" s="725" t="str">
        <f>+"Average Transmission Plant Balance for "&amp;TCOS!L4&amp;" TCOS, ln "&amp;TCOS!B63</f>
        <v>Average Transmission Plant Balance for 2025 TCOS, ln 19</v>
      </c>
      <c r="D75" s="1253"/>
      <c r="E75" s="348"/>
      <c r="F75" s="348"/>
      <c r="G75" s="490">
        <f>TCOS!L63</f>
        <v>2821927091.4255648</v>
      </c>
      <c r="I75" s="314"/>
      <c r="J75" s="427"/>
      <c r="K75" s="730"/>
      <c r="L75" s="314"/>
      <c r="M75" s="314"/>
      <c r="N75" s="314"/>
      <c r="O75" s="314"/>
      <c r="P75" s="427"/>
    </row>
    <row r="76" spans="2:17">
      <c r="B76" s="348"/>
      <c r="C76" s="725" t="str">
        <f>"Annual Depreciation and Amortization Expense (TCOS, ln "&amp;TCOS!B154&amp;")"</f>
        <v>Annual Depreciation and Amortization Expense (TCOS, ln 83)</v>
      </c>
      <c r="D76" s="538"/>
      <c r="E76" s="314"/>
      <c r="G76" s="490">
        <f>TCOS!L154</f>
        <v>73521205.394835889</v>
      </c>
      <c r="H76" s="708"/>
      <c r="I76" s="314"/>
      <c r="J76" s="427"/>
      <c r="K76" s="314"/>
      <c r="L76" s="314"/>
      <c r="M76" s="314"/>
      <c r="N76" s="314"/>
      <c r="O76" s="314"/>
      <c r="P76" s="427"/>
    </row>
    <row r="77" spans="2:17" ht="12.75" customHeight="1">
      <c r="B77" s="348"/>
      <c r="C77" s="725" t="s">
        <v>64</v>
      </c>
      <c r="D77" s="538"/>
      <c r="E77" s="314"/>
      <c r="G77" s="903">
        <f>G76/G75</f>
        <v>2.6053545330150564E-2</v>
      </c>
      <c r="H77" s="731"/>
      <c r="I77" s="153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J77" s="1531"/>
      <c r="K77" s="1531"/>
      <c r="L77" s="1531"/>
      <c r="M77" s="1531"/>
      <c r="N77" s="1531"/>
      <c r="O77" s="1531"/>
      <c r="P77" s="658"/>
      <c r="Q77" s="658"/>
    </row>
    <row r="78" spans="2:17">
      <c r="B78" s="348"/>
      <c r="C78" s="725" t="s">
        <v>65</v>
      </c>
      <c r="D78" s="538"/>
      <c r="E78" s="314"/>
      <c r="G78" s="732">
        <f>IF(G77=0,0,1/G77)</f>
        <v>38.382492184000242</v>
      </c>
      <c r="H78" s="708"/>
      <c r="I78" s="1531"/>
      <c r="J78" s="1531"/>
      <c r="K78" s="1531"/>
      <c r="L78" s="1531"/>
      <c r="M78" s="1531"/>
      <c r="N78" s="1531"/>
      <c r="O78" s="1531"/>
      <c r="P78" s="658"/>
      <c r="Q78" s="658"/>
    </row>
    <row r="79" spans="2:17">
      <c r="B79" s="348"/>
      <c r="C79" s="725" t="s">
        <v>588</v>
      </c>
      <c r="D79" s="538"/>
      <c r="E79" s="314"/>
      <c r="G79" s="733">
        <f>ROUND(G78,0)</f>
        <v>38</v>
      </c>
      <c r="H79" s="708"/>
      <c r="I79" s="1531"/>
      <c r="J79" s="1531"/>
      <c r="K79" s="1531"/>
      <c r="L79" s="1531"/>
      <c r="M79" s="1531"/>
      <c r="N79" s="1531"/>
      <c r="O79" s="1531"/>
      <c r="P79" s="658"/>
      <c r="Q79" s="658"/>
    </row>
    <row r="80" spans="2:17">
      <c r="B80" s="348"/>
      <c r="C80" s="725"/>
      <c r="D80" s="538"/>
      <c r="E80" s="314"/>
      <c r="G80" s="734"/>
      <c r="H80" s="708"/>
      <c r="I80" s="1531"/>
      <c r="J80" s="1531"/>
      <c r="K80" s="1531"/>
      <c r="L80" s="1531"/>
      <c r="M80" s="1531"/>
      <c r="N80" s="1531"/>
      <c r="O80" s="1531"/>
    </row>
    <row r="81" spans="1:16">
      <c r="C81" s="735"/>
      <c r="D81" s="736"/>
      <c r="E81" s="736"/>
      <c r="F81" s="736"/>
      <c r="G81" s="730"/>
      <c r="H81" s="730"/>
    </row>
    <row r="82" spans="1:16" ht="20.25">
      <c r="A82" s="737" t="str">
        <f>""&amp;A6&amp;" Worksheet J -  ATRR PROJECTED Calculation for PJM Projects Charged to Benefiting Zones"</f>
        <v>West Virginia Transmission Company Worksheet J -  ATRR PROJECTED Calculation for PJM Projects Charged to Benefiting Zones</v>
      </c>
      <c r="B82" s="348"/>
      <c r="C82" s="725"/>
      <c r="D82" s="538"/>
      <c r="E82" s="314"/>
      <c r="F82" s="707"/>
      <c r="G82" s="314"/>
      <c r="H82" s="708"/>
      <c r="K82" s="564"/>
      <c r="L82" s="564"/>
      <c r="M82" s="564"/>
      <c r="N82" s="653" t="str">
        <f>"Page "&amp;SUM(P$8:P82)&amp;" of "</f>
        <v xml:space="preserve">Page 2 of </v>
      </c>
      <c r="O82" s="654">
        <f>COUNT(P$8:P$56653)</f>
        <v>12</v>
      </c>
      <c r="P82" s="738">
        <v>1</v>
      </c>
    </row>
    <row r="83" spans="1:16">
      <c r="B83" s="348"/>
      <c r="C83" s="314"/>
      <c r="D83" s="538"/>
      <c r="E83" s="314"/>
      <c r="F83" s="314"/>
      <c r="G83" s="314"/>
      <c r="H83" s="708"/>
      <c r="I83" s="314"/>
      <c r="J83" s="427"/>
      <c r="K83" s="314"/>
      <c r="L83" s="314"/>
      <c r="M83" s="314"/>
      <c r="N83" s="314"/>
      <c r="O83" s="314"/>
      <c r="P83" s="427"/>
    </row>
    <row r="84" spans="1:16" ht="18">
      <c r="B84" s="657" t="s">
        <v>464</v>
      </c>
      <c r="C84" s="739" t="s">
        <v>85</v>
      </c>
      <c r="D84" s="538"/>
      <c r="E84" s="314"/>
      <c r="F84" s="314"/>
      <c r="G84" s="314"/>
      <c r="H84" s="708"/>
      <c r="I84" s="708"/>
      <c r="J84" s="730"/>
      <c r="K84" s="708"/>
      <c r="L84" s="708"/>
      <c r="M84" s="708"/>
      <c r="N84" s="708"/>
      <c r="O84" s="314"/>
    </row>
    <row r="85" spans="1:16" ht="18.75">
      <c r="B85" s="657"/>
      <c r="C85" s="656"/>
      <c r="D85" s="538"/>
      <c r="E85" s="314"/>
      <c r="F85" s="314"/>
      <c r="G85" s="314"/>
      <c r="H85" s="708"/>
      <c r="I85" s="708"/>
      <c r="J85" s="730"/>
      <c r="K85" s="708"/>
      <c r="L85" s="708"/>
      <c r="M85" s="708"/>
      <c r="N85" s="708"/>
      <c r="O85" s="314"/>
    </row>
    <row r="86" spans="1:16" ht="18.75">
      <c r="B86" s="657"/>
      <c r="C86" s="656" t="s">
        <v>86</v>
      </c>
      <c r="D86" s="538"/>
      <c r="E86" s="314"/>
      <c r="F86" s="314"/>
      <c r="G86" s="314"/>
      <c r="H86" s="708"/>
      <c r="I86" s="708"/>
      <c r="J86" s="730"/>
      <c r="K86" s="708"/>
      <c r="L86" s="708"/>
      <c r="M86" s="708"/>
      <c r="N86" s="708"/>
      <c r="O86" s="314"/>
    </row>
    <row r="87" spans="1:16" ht="15.75" thickBot="1">
      <c r="C87" s="240"/>
      <c r="D87" s="538"/>
      <c r="E87" s="314"/>
      <c r="F87" s="314"/>
      <c r="G87" s="314"/>
      <c r="H87" s="708"/>
      <c r="I87" s="708"/>
      <c r="J87" s="730"/>
      <c r="K87" s="708"/>
      <c r="L87" s="708"/>
      <c r="M87" s="708"/>
      <c r="N87" s="708"/>
      <c r="O87" s="314"/>
    </row>
    <row r="88" spans="1:16" ht="15.75">
      <c r="C88" s="659" t="s">
        <v>87</v>
      </c>
      <c r="D88" s="538"/>
      <c r="E88" s="314"/>
      <c r="F88" s="314"/>
      <c r="G88" s="806"/>
      <c r="H88" s="314" t="s">
        <v>66</v>
      </c>
      <c r="I88" s="314"/>
      <c r="J88" s="427"/>
      <c r="K88" s="740" t="s">
        <v>91</v>
      </c>
      <c r="L88" s="741"/>
      <c r="M88" s="742"/>
      <c r="N88" s="743">
        <f>IF(I94=0,0,VLOOKUP(I94,C101:O160,5))</f>
        <v>236633.98914866842</v>
      </c>
      <c r="O88" s="314"/>
    </row>
    <row r="89" spans="1:16" ht="15.75">
      <c r="C89" s="659"/>
      <c r="D89" s="538"/>
      <c r="E89" s="314"/>
      <c r="F89" s="314"/>
      <c r="G89" s="314"/>
      <c r="H89" s="744"/>
      <c r="I89" s="744"/>
      <c r="J89" s="745"/>
      <c r="K89" s="746" t="s">
        <v>92</v>
      </c>
      <c r="L89" s="747"/>
      <c r="M89" s="427"/>
      <c r="N89" s="748">
        <f>IF(I94=0,0,VLOOKUP(I94,C101:O160,6))</f>
        <v>236633.98914866842</v>
      </c>
      <c r="O89" s="314"/>
    </row>
    <row r="90" spans="1:16" ht="13.5" thickBot="1">
      <c r="C90" s="749" t="s">
        <v>88</v>
      </c>
      <c r="D90" s="1527" t="s">
        <v>809</v>
      </c>
      <c r="E90" s="1527"/>
      <c r="F90" s="1527"/>
      <c r="G90" s="1527"/>
      <c r="H90" s="1527"/>
      <c r="I90" s="1527"/>
      <c r="J90" s="730"/>
      <c r="K90" s="750" t="s">
        <v>230</v>
      </c>
      <c r="L90" s="751"/>
      <c r="M90" s="751"/>
      <c r="N90" s="752">
        <f>+N89-N88</f>
        <v>0</v>
      </c>
      <c r="O90" s="314"/>
    </row>
    <row r="91" spans="1:16">
      <c r="C91" s="753"/>
      <c r="D91" s="754"/>
      <c r="E91" s="734"/>
      <c r="F91" s="734"/>
      <c r="G91" s="755"/>
      <c r="H91" s="708"/>
      <c r="I91" s="708"/>
      <c r="J91" s="730"/>
      <c r="K91" s="708"/>
      <c r="L91" s="708"/>
      <c r="M91" s="708"/>
      <c r="N91" s="708"/>
      <c r="O91" s="314"/>
    </row>
    <row r="92" spans="1:16" ht="13.5" thickBot="1">
      <c r="C92" s="756"/>
      <c r="D92" s="757"/>
      <c r="E92" s="755"/>
      <c r="F92" s="755"/>
      <c r="G92" s="755"/>
      <c r="H92" s="755"/>
      <c r="I92" s="755"/>
      <c r="J92" s="758"/>
      <c r="K92" s="755"/>
      <c r="L92" s="755"/>
      <c r="M92" s="755"/>
      <c r="N92" s="755"/>
      <c r="O92" s="348"/>
    </row>
    <row r="93" spans="1:16" ht="13.5" thickBot="1">
      <c r="C93" s="759" t="s">
        <v>89</v>
      </c>
      <c r="D93" s="760"/>
      <c r="E93" s="760"/>
      <c r="F93" s="760"/>
      <c r="G93" s="760"/>
      <c r="H93" s="760"/>
      <c r="I93" s="761"/>
      <c r="J93" s="762"/>
      <c r="K93" s="314"/>
      <c r="L93" s="314"/>
      <c r="M93" s="314"/>
      <c r="N93" s="314"/>
      <c r="O93" s="763"/>
    </row>
    <row r="94" spans="1:16" ht="15">
      <c r="C94" s="764" t="s">
        <v>67</v>
      </c>
      <c r="D94" s="808">
        <v>2191536.2599999998</v>
      </c>
      <c r="E94" s="725" t="s">
        <v>68</v>
      </c>
      <c r="G94" s="765"/>
      <c r="H94" s="765"/>
      <c r="I94" s="766">
        <f>$L$26</f>
        <v>2025</v>
      </c>
      <c r="J94" s="554"/>
      <c r="K94" s="1528" t="s">
        <v>239</v>
      </c>
      <c r="L94" s="1528"/>
      <c r="M94" s="1528"/>
      <c r="N94" s="1528"/>
      <c r="O94" s="1528"/>
    </row>
    <row r="95" spans="1:16">
      <c r="C95" s="764" t="s">
        <v>70</v>
      </c>
      <c r="D95" s="809">
        <v>2014</v>
      </c>
      <c r="E95" s="764" t="s">
        <v>71</v>
      </c>
      <c r="F95" s="765"/>
      <c r="H95" s="173"/>
      <c r="I95" s="810">
        <f>IF(G88="",0,$F$17)</f>
        <v>0</v>
      </c>
      <c r="J95" s="767"/>
      <c r="K95" s="730" t="s">
        <v>239</v>
      </c>
    </row>
    <row r="96" spans="1:16">
      <c r="C96" s="764" t="s">
        <v>72</v>
      </c>
      <c r="D96" s="808">
        <v>11</v>
      </c>
      <c r="E96" s="764" t="s">
        <v>73</v>
      </c>
      <c r="F96" s="765"/>
      <c r="H96" s="173"/>
      <c r="I96" s="768">
        <f>$G$70</f>
        <v>0.11318296473052861</v>
      </c>
      <c r="J96" s="769"/>
      <c r="K96" s="173" t="str">
        <f>"          INPUT PROJECTED ARR (WITH &amp; WITHOUT INCENTIVES) FROM EACH PRIOR YEAR"</f>
        <v xml:space="preserve">          INPUT PROJECTED ARR (WITH &amp; WITHOUT INCENTIVES) FROM EACH PRIOR YEAR</v>
      </c>
    </row>
    <row r="97" spans="2:15">
      <c r="C97" s="764" t="s">
        <v>74</v>
      </c>
      <c r="D97" s="770">
        <f>$G$79</f>
        <v>38</v>
      </c>
      <c r="E97" s="764" t="s">
        <v>75</v>
      </c>
      <c r="F97" s="765"/>
      <c r="H97" s="173"/>
      <c r="I97" s="768">
        <f>IF(G88="",I96,$G$69)</f>
        <v>0.11318296473052861</v>
      </c>
      <c r="J97" s="771"/>
      <c r="K97" s="173" t="s">
        <v>152</v>
      </c>
    </row>
    <row r="98" spans="2:15" ht="13.5" thickBot="1">
      <c r="C98" s="764" t="s">
        <v>76</v>
      </c>
      <c r="D98" s="807" t="s">
        <v>810</v>
      </c>
      <c r="E98" s="772" t="s">
        <v>77</v>
      </c>
      <c r="F98" s="773"/>
      <c r="G98" s="774"/>
      <c r="H98" s="774"/>
      <c r="I98" s="752">
        <f>IF(D94=0,0,D94/D97)</f>
        <v>57672.006842105257</v>
      </c>
      <c r="J98" s="730"/>
      <c r="K98" s="730" t="s">
        <v>158</v>
      </c>
      <c r="L98" s="730"/>
      <c r="M98" s="730"/>
      <c r="N98" s="730"/>
      <c r="O98" s="427"/>
    </row>
    <row r="99" spans="2:15" ht="38.25">
      <c r="B99" s="845"/>
      <c r="C99" s="775" t="s">
        <v>67</v>
      </c>
      <c r="D99" s="776" t="s">
        <v>78</v>
      </c>
      <c r="E99" s="777" t="s">
        <v>79</v>
      </c>
      <c r="F99" s="776" t="s">
        <v>80</v>
      </c>
      <c r="G99" s="777" t="s">
        <v>151</v>
      </c>
      <c r="H99" s="778" t="s">
        <v>151</v>
      </c>
      <c r="I99" s="775" t="s">
        <v>90</v>
      </c>
      <c r="J99" s="779"/>
      <c r="K99" s="777" t="s">
        <v>160</v>
      </c>
      <c r="L99" s="780"/>
      <c r="M99" s="777" t="s">
        <v>160</v>
      </c>
      <c r="N99" s="780"/>
      <c r="O99" s="780"/>
    </row>
    <row r="100" spans="2:15" ht="13.5" thickBot="1">
      <c r="C100" s="781" t="s">
        <v>467</v>
      </c>
      <c r="D100" s="782" t="s">
        <v>468</v>
      </c>
      <c r="E100" s="781" t="s">
        <v>361</v>
      </c>
      <c r="F100" s="782" t="s">
        <v>468</v>
      </c>
      <c r="G100" s="783" t="s">
        <v>93</v>
      </c>
      <c r="H100" s="784" t="s">
        <v>95</v>
      </c>
      <c r="I100" s="785" t="s">
        <v>15</v>
      </c>
      <c r="J100" s="786"/>
      <c r="K100" s="783" t="s">
        <v>82</v>
      </c>
      <c r="L100" s="787"/>
      <c r="M100" s="783" t="s">
        <v>95</v>
      </c>
      <c r="N100" s="787"/>
      <c r="O100" s="787"/>
    </row>
    <row r="101" spans="2:15">
      <c r="C101" s="788">
        <f>IF(D95= "","-",D95)</f>
        <v>2014</v>
      </c>
      <c r="D101" s="736">
        <f>+D94</f>
        <v>2191536.2599999998</v>
      </c>
      <c r="E101" s="789">
        <f>+I98/12*(12-D96)</f>
        <v>4806.000570175438</v>
      </c>
      <c r="F101" s="736">
        <f>+D101-E101</f>
        <v>2186730.2594298245</v>
      </c>
      <c r="G101" s="999">
        <f>+$I$96*((D101+F101)/2)+E101</f>
        <v>252578.59309491547</v>
      </c>
      <c r="H101" s="1000">
        <f>$I$97*((D101+F101)/2)+E101</f>
        <v>252578.59309491547</v>
      </c>
      <c r="I101" s="792">
        <f>+H101-G101</f>
        <v>0</v>
      </c>
      <c r="J101" s="792"/>
      <c r="K101" s="811">
        <v>541349</v>
      </c>
      <c r="L101" s="793"/>
      <c r="M101" s="811">
        <v>541349</v>
      </c>
      <c r="N101" s="793"/>
      <c r="O101" s="793"/>
    </row>
    <row r="102" spans="2:15">
      <c r="C102" s="788">
        <f>IF(D95="","-",+C101+1)</f>
        <v>2015</v>
      </c>
      <c r="D102" s="736">
        <f t="shared" ref="D102:D160" si="0">F101</f>
        <v>2186730.2594298245</v>
      </c>
      <c r="E102" s="789">
        <f>IF(D102&gt;$I$98,$I$98,D102)</f>
        <v>57672.006842105257</v>
      </c>
      <c r="F102" s="736">
        <f t="shared" ref="F102:F160" si="1">+D102-E102</f>
        <v>2129058.2525877194</v>
      </c>
      <c r="G102" s="794">
        <f t="shared" ref="G102:G160" si="2">+$I$96*((D102+F102)/2)+E102</f>
        <v>301908.87631215638</v>
      </c>
      <c r="H102" s="795">
        <f t="shared" ref="H102:H160" si="3">$I$97*((D102+F102)/2)+E102</f>
        <v>301908.87631215638</v>
      </c>
      <c r="I102" s="792">
        <f t="shared" ref="I102:I160" si="4">+H102-G102</f>
        <v>0</v>
      </c>
      <c r="J102" s="792"/>
      <c r="K102" s="812">
        <v>511336</v>
      </c>
      <c r="L102" s="796"/>
      <c r="M102" s="812">
        <v>511336</v>
      </c>
      <c r="N102" s="796"/>
      <c r="O102" s="796"/>
    </row>
    <row r="103" spans="2:15">
      <c r="C103" s="788">
        <f>IF(D95="","-",+C102+1)</f>
        <v>2016</v>
      </c>
      <c r="D103" s="736">
        <f t="shared" si="0"/>
        <v>2129058.2525877194</v>
      </c>
      <c r="E103" s="789">
        <f t="shared" ref="E103:E160" si="5">IF(D103&gt;$I$98,$I$98,D103)</f>
        <v>57672.006842105257</v>
      </c>
      <c r="F103" s="736">
        <f t="shared" si="1"/>
        <v>2071386.2457456142</v>
      </c>
      <c r="G103" s="794">
        <f t="shared" si="2"/>
        <v>295381.38759580755</v>
      </c>
      <c r="H103" s="795">
        <f t="shared" si="3"/>
        <v>295381.38759580755</v>
      </c>
      <c r="I103" s="792">
        <f t="shared" si="4"/>
        <v>0</v>
      </c>
      <c r="J103" s="792"/>
      <c r="K103" s="812">
        <v>498629</v>
      </c>
      <c r="L103" s="796"/>
      <c r="M103" s="812">
        <v>498629</v>
      </c>
      <c r="N103" s="796"/>
      <c r="O103" s="796"/>
    </row>
    <row r="104" spans="2:15">
      <c r="C104" s="788">
        <f>IF(D95="","-",+C103+1)</f>
        <v>2017</v>
      </c>
      <c r="D104" s="736">
        <f t="shared" si="0"/>
        <v>2071386.2457456142</v>
      </c>
      <c r="E104" s="789">
        <f t="shared" si="5"/>
        <v>57672.006842105257</v>
      </c>
      <c r="F104" s="736">
        <f t="shared" si="1"/>
        <v>2013714.238903509</v>
      </c>
      <c r="G104" s="794">
        <f t="shared" si="2"/>
        <v>288853.89887945878</v>
      </c>
      <c r="H104" s="795">
        <f t="shared" si="3"/>
        <v>288853.89887945878</v>
      </c>
      <c r="I104" s="792">
        <f t="shared" si="4"/>
        <v>0</v>
      </c>
      <c r="J104" s="792"/>
      <c r="K104" s="812">
        <v>544400</v>
      </c>
      <c r="L104" s="796"/>
      <c r="M104" s="812">
        <v>544400</v>
      </c>
      <c r="N104" s="796"/>
      <c r="O104" s="796"/>
    </row>
    <row r="105" spans="2:15">
      <c r="C105" s="1315">
        <f>IF(D95="","-",+C104+1)</f>
        <v>2018</v>
      </c>
      <c r="D105" s="736">
        <f t="shared" si="0"/>
        <v>2013714.238903509</v>
      </c>
      <c r="E105" s="789">
        <f t="shared" si="5"/>
        <v>57672.006842105257</v>
      </c>
      <c r="F105" s="736">
        <f t="shared" si="1"/>
        <v>1956042.2320614038</v>
      </c>
      <c r="G105" s="794">
        <f t="shared" si="2"/>
        <v>282326.41016310995</v>
      </c>
      <c r="H105" s="795">
        <f t="shared" si="3"/>
        <v>282326.41016310995</v>
      </c>
      <c r="I105" s="792">
        <f t="shared" si="4"/>
        <v>0</v>
      </c>
      <c r="J105" s="792"/>
      <c r="K105" s="812">
        <v>473613</v>
      </c>
      <c r="L105" s="796"/>
      <c r="M105" s="812">
        <v>473613</v>
      </c>
      <c r="N105" s="796"/>
      <c r="O105" s="796"/>
    </row>
    <row r="106" spans="2:15">
      <c r="C106" s="1315">
        <f>IF(D95="","-",+C105+1)</f>
        <v>2019</v>
      </c>
      <c r="D106" s="736">
        <f t="shared" si="0"/>
        <v>1956042.2320614038</v>
      </c>
      <c r="E106" s="789">
        <f t="shared" si="5"/>
        <v>57672.006842105257</v>
      </c>
      <c r="F106" s="736">
        <f t="shared" si="1"/>
        <v>1898370.2252192986</v>
      </c>
      <c r="G106" s="794">
        <f t="shared" si="2"/>
        <v>275798.92144676117</v>
      </c>
      <c r="H106" s="795">
        <f t="shared" si="3"/>
        <v>275798.92144676117</v>
      </c>
      <c r="I106" s="792">
        <f t="shared" si="4"/>
        <v>0</v>
      </c>
      <c r="J106" s="792"/>
      <c r="K106" s="812">
        <v>252229.32222652514</v>
      </c>
      <c r="L106" s="796"/>
      <c r="M106" s="812">
        <v>252229.32222652514</v>
      </c>
      <c r="N106" s="796"/>
      <c r="O106" s="796"/>
    </row>
    <row r="107" spans="2:15">
      <c r="C107" s="1315">
        <f>IF(D95="","-",+C106+1)</f>
        <v>2020</v>
      </c>
      <c r="D107" s="736">
        <f t="shared" si="0"/>
        <v>1898370.2252192986</v>
      </c>
      <c r="E107" s="789">
        <f t="shared" si="5"/>
        <v>57672.006842105257</v>
      </c>
      <c r="F107" s="736">
        <f t="shared" si="1"/>
        <v>1840698.2183771934</v>
      </c>
      <c r="G107" s="794">
        <f t="shared" si="2"/>
        <v>269271.4327304124</v>
      </c>
      <c r="H107" s="795">
        <f t="shared" si="3"/>
        <v>269271.4327304124</v>
      </c>
      <c r="I107" s="792">
        <f t="shared" si="4"/>
        <v>0</v>
      </c>
      <c r="J107" s="792"/>
      <c r="K107" s="812">
        <v>248392.52487603013</v>
      </c>
      <c r="L107" s="796"/>
      <c r="M107" s="812">
        <v>248392.52487603013</v>
      </c>
      <c r="N107" s="796"/>
      <c r="O107" s="796"/>
    </row>
    <row r="108" spans="2:15">
      <c r="C108" s="1315">
        <f>IF(D95="","-",+C107+1)</f>
        <v>2021</v>
      </c>
      <c r="D108" s="736">
        <f t="shared" si="0"/>
        <v>1840698.2183771934</v>
      </c>
      <c r="E108" s="789">
        <f t="shared" si="5"/>
        <v>57672.006842105257</v>
      </c>
      <c r="F108" s="736">
        <f t="shared" si="1"/>
        <v>1783026.2115350883</v>
      </c>
      <c r="G108" s="794">
        <f t="shared" si="2"/>
        <v>262743.94401406357</v>
      </c>
      <c r="H108" s="795">
        <f t="shared" si="3"/>
        <v>262743.94401406357</v>
      </c>
      <c r="I108" s="792">
        <f t="shared" si="4"/>
        <v>0</v>
      </c>
      <c r="J108" s="792"/>
      <c r="K108" s="812">
        <v>248895.58724251486</v>
      </c>
      <c r="L108" s="796"/>
      <c r="M108" s="812">
        <v>248895.58724251486</v>
      </c>
      <c r="N108" s="796"/>
      <c r="O108" s="796"/>
    </row>
    <row r="109" spans="2:15">
      <c r="C109" s="1315">
        <f>IF(D95="","-",+C108+1)</f>
        <v>2022</v>
      </c>
      <c r="D109" s="736">
        <f t="shared" si="0"/>
        <v>1783026.2115350883</v>
      </c>
      <c r="E109" s="789">
        <f t="shared" si="5"/>
        <v>57672.006842105257</v>
      </c>
      <c r="F109" s="736">
        <f t="shared" si="1"/>
        <v>1725354.2046929831</v>
      </c>
      <c r="G109" s="794">
        <f t="shared" si="2"/>
        <v>256216.4552977148</v>
      </c>
      <c r="H109" s="795">
        <f t="shared" si="3"/>
        <v>256216.4552977148</v>
      </c>
      <c r="I109" s="792">
        <f t="shared" si="4"/>
        <v>0</v>
      </c>
      <c r="J109" s="792"/>
      <c r="K109" s="812">
        <v>247920.29655146488</v>
      </c>
      <c r="L109" s="796"/>
      <c r="M109" s="812">
        <v>247920.29655146488</v>
      </c>
      <c r="N109" s="796"/>
      <c r="O109" s="796"/>
    </row>
    <row r="110" spans="2:15">
      <c r="C110" s="1315">
        <f>IF(D95="","-",+C109+1)</f>
        <v>2023</v>
      </c>
      <c r="D110" s="736">
        <f t="shared" si="0"/>
        <v>1725354.2046929831</v>
      </c>
      <c r="E110" s="789">
        <f t="shared" si="5"/>
        <v>57672.006842105257</v>
      </c>
      <c r="F110" s="736">
        <f t="shared" si="1"/>
        <v>1667682.1978508779</v>
      </c>
      <c r="G110" s="794">
        <f t="shared" si="2"/>
        <v>249688.96658136602</v>
      </c>
      <c r="H110" s="795">
        <f t="shared" si="3"/>
        <v>249688.96658136602</v>
      </c>
      <c r="I110" s="792">
        <f t="shared" si="4"/>
        <v>0</v>
      </c>
      <c r="J110" s="792"/>
      <c r="K110" s="812">
        <v>246265.09273282939</v>
      </c>
      <c r="L110" s="796"/>
      <c r="M110" s="812">
        <v>246265.09273282939</v>
      </c>
      <c r="N110" s="796"/>
      <c r="O110" s="796"/>
    </row>
    <row r="111" spans="2:15">
      <c r="C111" s="1433">
        <f>IF(D95="","-",+C110+1)</f>
        <v>2024</v>
      </c>
      <c r="D111" s="736">
        <f t="shared" si="0"/>
        <v>1667682.1978508779</v>
      </c>
      <c r="E111" s="789">
        <f t="shared" si="5"/>
        <v>57672.006842105257</v>
      </c>
      <c r="F111" s="736">
        <f t="shared" si="1"/>
        <v>1610010.1910087727</v>
      </c>
      <c r="G111" s="794">
        <f t="shared" si="2"/>
        <v>243161.47786501719</v>
      </c>
      <c r="H111" s="795">
        <f t="shared" si="3"/>
        <v>243161.47786501719</v>
      </c>
      <c r="I111" s="792">
        <f t="shared" si="4"/>
        <v>0</v>
      </c>
      <c r="J111" s="792"/>
      <c r="K111" s="812">
        <v>244764.98304026638</v>
      </c>
      <c r="L111" s="796"/>
      <c r="M111" s="812">
        <v>244764.98304026638</v>
      </c>
      <c r="N111" s="796"/>
      <c r="O111" s="796"/>
    </row>
    <row r="112" spans="2:15">
      <c r="C112" s="1311">
        <f>IF(D95="","-",+C111+1)</f>
        <v>2025</v>
      </c>
      <c r="D112" s="736">
        <f t="shared" si="0"/>
        <v>1610010.1910087727</v>
      </c>
      <c r="E112" s="789">
        <f t="shared" si="5"/>
        <v>57672.006842105257</v>
      </c>
      <c r="F112" s="736">
        <f t="shared" si="1"/>
        <v>1552338.1841666675</v>
      </c>
      <c r="G112" s="794">
        <f t="shared" si="2"/>
        <v>236633.98914866842</v>
      </c>
      <c r="H112" s="795">
        <f t="shared" si="3"/>
        <v>236633.98914866842</v>
      </c>
      <c r="I112" s="792">
        <f t="shared" si="4"/>
        <v>0</v>
      </c>
      <c r="J112" s="792"/>
      <c r="K112" s="812"/>
      <c r="L112" s="796"/>
      <c r="M112" s="812"/>
      <c r="N112" s="796"/>
      <c r="O112" s="796"/>
    </row>
    <row r="113" spans="3:15">
      <c r="C113" s="788">
        <f>IF(D95="","-",+C112+1)</f>
        <v>2026</v>
      </c>
      <c r="D113" s="736">
        <f t="shared" si="0"/>
        <v>1552338.1841666675</v>
      </c>
      <c r="E113" s="789">
        <f t="shared" si="5"/>
        <v>57672.006842105257</v>
      </c>
      <c r="F113" s="736">
        <f t="shared" si="1"/>
        <v>1494666.1773245623</v>
      </c>
      <c r="G113" s="794">
        <f t="shared" si="2"/>
        <v>230106.50043231959</v>
      </c>
      <c r="H113" s="795">
        <f t="shared" si="3"/>
        <v>230106.50043231959</v>
      </c>
      <c r="I113" s="792">
        <f t="shared" si="4"/>
        <v>0</v>
      </c>
      <c r="J113" s="792"/>
      <c r="K113" s="812"/>
      <c r="L113" s="796"/>
      <c r="M113" s="812"/>
      <c r="N113" s="797"/>
      <c r="O113" s="796"/>
    </row>
    <row r="114" spans="3:15">
      <c r="C114" s="788">
        <f>IF(D95="","-",+C113+1)</f>
        <v>2027</v>
      </c>
      <c r="D114" s="736">
        <f t="shared" si="0"/>
        <v>1494666.1773245623</v>
      </c>
      <c r="E114" s="789">
        <f t="shared" si="5"/>
        <v>57672.006842105257</v>
      </c>
      <c r="F114" s="736">
        <f t="shared" si="1"/>
        <v>1436994.1704824571</v>
      </c>
      <c r="G114" s="794">
        <f t="shared" si="2"/>
        <v>223579.01171597082</v>
      </c>
      <c r="H114" s="795">
        <f t="shared" si="3"/>
        <v>223579.01171597082</v>
      </c>
      <c r="I114" s="792">
        <f t="shared" si="4"/>
        <v>0</v>
      </c>
      <c r="J114" s="792"/>
      <c r="K114" s="812"/>
      <c r="L114" s="796"/>
      <c r="M114" s="812"/>
      <c r="N114" s="796"/>
      <c r="O114" s="796"/>
    </row>
    <row r="115" spans="3:15">
      <c r="C115" s="788">
        <f>IF(D95="","-",+C114+1)</f>
        <v>2028</v>
      </c>
      <c r="D115" s="736">
        <f t="shared" si="0"/>
        <v>1436994.1704824571</v>
      </c>
      <c r="E115" s="789">
        <f t="shared" si="5"/>
        <v>57672.006842105257</v>
      </c>
      <c r="F115" s="736">
        <f t="shared" si="1"/>
        <v>1379322.163640352</v>
      </c>
      <c r="G115" s="794">
        <f t="shared" si="2"/>
        <v>217051.52299962204</v>
      </c>
      <c r="H115" s="795">
        <f t="shared" si="3"/>
        <v>217051.52299962204</v>
      </c>
      <c r="I115" s="792">
        <f t="shared" si="4"/>
        <v>0</v>
      </c>
      <c r="J115" s="792"/>
      <c r="K115" s="812"/>
      <c r="L115" s="796"/>
      <c r="M115" s="812"/>
      <c r="N115" s="796"/>
      <c r="O115" s="796"/>
    </row>
    <row r="116" spans="3:15">
      <c r="C116" s="788">
        <f>IF(D95="","-",+C115+1)</f>
        <v>2029</v>
      </c>
      <c r="D116" s="736">
        <f t="shared" si="0"/>
        <v>1379322.163640352</v>
      </c>
      <c r="E116" s="789">
        <f t="shared" si="5"/>
        <v>57672.006842105257</v>
      </c>
      <c r="F116" s="736">
        <f t="shared" si="1"/>
        <v>1321650.1567982468</v>
      </c>
      <c r="G116" s="794">
        <f t="shared" si="2"/>
        <v>210524.03428327321</v>
      </c>
      <c r="H116" s="795">
        <f t="shared" si="3"/>
        <v>210524.03428327321</v>
      </c>
      <c r="I116" s="792">
        <f t="shared" si="4"/>
        <v>0</v>
      </c>
      <c r="J116" s="792"/>
      <c r="K116" s="812"/>
      <c r="L116" s="796"/>
      <c r="M116" s="812"/>
      <c r="N116" s="796"/>
      <c r="O116" s="796"/>
    </row>
    <row r="117" spans="3:15">
      <c r="C117" s="788">
        <f>IF(D95="","-",+C116+1)</f>
        <v>2030</v>
      </c>
      <c r="D117" s="736">
        <f t="shared" si="0"/>
        <v>1321650.1567982468</v>
      </c>
      <c r="E117" s="789">
        <f t="shared" si="5"/>
        <v>57672.006842105257</v>
      </c>
      <c r="F117" s="736">
        <f t="shared" si="1"/>
        <v>1263978.1499561416</v>
      </c>
      <c r="G117" s="794">
        <f t="shared" si="2"/>
        <v>203996.54556692444</v>
      </c>
      <c r="H117" s="795">
        <f t="shared" si="3"/>
        <v>203996.54556692444</v>
      </c>
      <c r="I117" s="792">
        <f t="shared" si="4"/>
        <v>0</v>
      </c>
      <c r="J117" s="792"/>
      <c r="K117" s="812"/>
      <c r="L117" s="796"/>
      <c r="M117" s="812"/>
      <c r="N117" s="796"/>
      <c r="O117" s="796"/>
    </row>
    <row r="118" spans="3:15">
      <c r="C118" s="788">
        <f>IF(D95="","-",+C117+1)</f>
        <v>2031</v>
      </c>
      <c r="D118" s="736">
        <f t="shared" si="0"/>
        <v>1263978.1499561416</v>
      </c>
      <c r="E118" s="789">
        <f t="shared" si="5"/>
        <v>57672.006842105257</v>
      </c>
      <c r="F118" s="736">
        <f t="shared" si="1"/>
        <v>1206306.1431140364</v>
      </c>
      <c r="G118" s="794">
        <f t="shared" si="2"/>
        <v>197469.05685057561</v>
      </c>
      <c r="H118" s="795">
        <f t="shared" si="3"/>
        <v>197469.05685057561</v>
      </c>
      <c r="I118" s="792">
        <f t="shared" si="4"/>
        <v>0</v>
      </c>
      <c r="J118" s="792"/>
      <c r="K118" s="812"/>
      <c r="L118" s="796"/>
      <c r="M118" s="812"/>
      <c r="N118" s="796"/>
      <c r="O118" s="796"/>
    </row>
    <row r="119" spans="3:15">
      <c r="C119" s="788">
        <f>IF(D95="","-",+C118+1)</f>
        <v>2032</v>
      </c>
      <c r="D119" s="736">
        <f t="shared" si="0"/>
        <v>1206306.1431140364</v>
      </c>
      <c r="E119" s="789">
        <f t="shared" si="5"/>
        <v>57672.006842105257</v>
      </c>
      <c r="F119" s="736">
        <f t="shared" si="1"/>
        <v>1148634.1362719312</v>
      </c>
      <c r="G119" s="794">
        <f t="shared" si="2"/>
        <v>190941.56813422684</v>
      </c>
      <c r="H119" s="795">
        <f t="shared" si="3"/>
        <v>190941.56813422684</v>
      </c>
      <c r="I119" s="792">
        <f t="shared" si="4"/>
        <v>0</v>
      </c>
      <c r="J119" s="792"/>
      <c r="K119" s="812"/>
      <c r="L119" s="796"/>
      <c r="M119" s="812"/>
      <c r="N119" s="796"/>
      <c r="O119" s="796"/>
    </row>
    <row r="120" spans="3:15">
      <c r="C120" s="788">
        <f>IF(D95="","-",+C119+1)</f>
        <v>2033</v>
      </c>
      <c r="D120" s="736">
        <f t="shared" si="0"/>
        <v>1148634.1362719312</v>
      </c>
      <c r="E120" s="789">
        <f t="shared" si="5"/>
        <v>57672.006842105257</v>
      </c>
      <c r="F120" s="736">
        <f t="shared" si="1"/>
        <v>1090962.129429826</v>
      </c>
      <c r="G120" s="794">
        <f t="shared" si="2"/>
        <v>184414.07941787803</v>
      </c>
      <c r="H120" s="795">
        <f t="shared" si="3"/>
        <v>184414.07941787803</v>
      </c>
      <c r="I120" s="792">
        <f t="shared" si="4"/>
        <v>0</v>
      </c>
      <c r="J120" s="792"/>
      <c r="K120" s="812"/>
      <c r="L120" s="796"/>
      <c r="M120" s="812"/>
      <c r="N120" s="796"/>
      <c r="O120" s="796"/>
    </row>
    <row r="121" spans="3:15">
      <c r="C121" s="788">
        <f>IF(D95="","-",+C120+1)</f>
        <v>2034</v>
      </c>
      <c r="D121" s="736">
        <f t="shared" si="0"/>
        <v>1090962.129429826</v>
      </c>
      <c r="E121" s="789">
        <f t="shared" si="5"/>
        <v>57672.006842105257</v>
      </c>
      <c r="F121" s="736">
        <f t="shared" si="1"/>
        <v>1033290.1225877207</v>
      </c>
      <c r="G121" s="794">
        <f t="shared" si="2"/>
        <v>177886.59070152923</v>
      </c>
      <c r="H121" s="795">
        <f t="shared" si="3"/>
        <v>177886.59070152923</v>
      </c>
      <c r="I121" s="792">
        <f t="shared" si="4"/>
        <v>0</v>
      </c>
      <c r="J121" s="792"/>
      <c r="K121" s="812"/>
      <c r="L121" s="796"/>
      <c r="M121" s="812"/>
      <c r="N121" s="796"/>
      <c r="O121" s="796"/>
    </row>
    <row r="122" spans="3:15">
      <c r="C122" s="788">
        <f>IF(D95="","-",+C121+1)</f>
        <v>2035</v>
      </c>
      <c r="D122" s="736">
        <f t="shared" si="0"/>
        <v>1033290.1225877207</v>
      </c>
      <c r="E122" s="789">
        <f t="shared" si="5"/>
        <v>57672.006842105257</v>
      </c>
      <c r="F122" s="736">
        <f t="shared" si="1"/>
        <v>975618.11574561545</v>
      </c>
      <c r="G122" s="794">
        <f t="shared" si="2"/>
        <v>171359.10198518043</v>
      </c>
      <c r="H122" s="795">
        <f t="shared" si="3"/>
        <v>171359.10198518043</v>
      </c>
      <c r="I122" s="792">
        <f t="shared" si="4"/>
        <v>0</v>
      </c>
      <c r="J122" s="792"/>
      <c r="K122" s="812"/>
      <c r="L122" s="796"/>
      <c r="M122" s="812"/>
      <c r="N122" s="796"/>
      <c r="O122" s="796"/>
    </row>
    <row r="123" spans="3:15">
      <c r="C123" s="788">
        <f>IF(D95="","-",+C122+1)</f>
        <v>2036</v>
      </c>
      <c r="D123" s="736">
        <f t="shared" si="0"/>
        <v>975618.11574561545</v>
      </c>
      <c r="E123" s="789">
        <f t="shared" si="5"/>
        <v>57672.006842105257</v>
      </c>
      <c r="F123" s="736">
        <f t="shared" si="1"/>
        <v>917946.10890351015</v>
      </c>
      <c r="G123" s="794">
        <f t="shared" si="2"/>
        <v>164831.61326883163</v>
      </c>
      <c r="H123" s="795">
        <f t="shared" si="3"/>
        <v>164831.61326883163</v>
      </c>
      <c r="I123" s="792">
        <f t="shared" si="4"/>
        <v>0</v>
      </c>
      <c r="J123" s="792"/>
      <c r="K123" s="812"/>
      <c r="L123" s="796"/>
      <c r="M123" s="812"/>
      <c r="N123" s="796"/>
      <c r="O123" s="796"/>
    </row>
    <row r="124" spans="3:15">
      <c r="C124" s="788">
        <f>IF(D95="","-",+C123+1)</f>
        <v>2037</v>
      </c>
      <c r="D124" s="736">
        <f t="shared" si="0"/>
        <v>917946.10890351015</v>
      </c>
      <c r="E124" s="789">
        <f t="shared" si="5"/>
        <v>57672.006842105257</v>
      </c>
      <c r="F124" s="736">
        <f t="shared" si="1"/>
        <v>860274.10206140485</v>
      </c>
      <c r="G124" s="794">
        <f t="shared" si="2"/>
        <v>158304.1245524828</v>
      </c>
      <c r="H124" s="795">
        <f t="shared" si="3"/>
        <v>158304.1245524828</v>
      </c>
      <c r="I124" s="792">
        <f t="shared" si="4"/>
        <v>0</v>
      </c>
      <c r="J124" s="792"/>
      <c r="K124" s="812"/>
      <c r="L124" s="796"/>
      <c r="M124" s="812"/>
      <c r="N124" s="796"/>
      <c r="O124" s="796"/>
    </row>
    <row r="125" spans="3:15">
      <c r="C125" s="788">
        <f>IF(D95="","-",+C124+1)</f>
        <v>2038</v>
      </c>
      <c r="D125" s="736">
        <f t="shared" si="0"/>
        <v>860274.10206140485</v>
      </c>
      <c r="E125" s="789">
        <f t="shared" si="5"/>
        <v>57672.006842105257</v>
      </c>
      <c r="F125" s="736">
        <f t="shared" si="1"/>
        <v>802602.09521929955</v>
      </c>
      <c r="G125" s="794">
        <f t="shared" si="2"/>
        <v>151776.63583613402</v>
      </c>
      <c r="H125" s="795">
        <f t="shared" si="3"/>
        <v>151776.63583613402</v>
      </c>
      <c r="I125" s="792">
        <f t="shared" si="4"/>
        <v>0</v>
      </c>
      <c r="J125" s="792"/>
      <c r="K125" s="812"/>
      <c r="L125" s="796"/>
      <c r="M125" s="812"/>
      <c r="N125" s="796"/>
      <c r="O125" s="796"/>
    </row>
    <row r="126" spans="3:15">
      <c r="C126" s="788">
        <f>IF(D95="","-",+C125+1)</f>
        <v>2039</v>
      </c>
      <c r="D126" s="736">
        <f t="shared" si="0"/>
        <v>802602.09521929955</v>
      </c>
      <c r="E126" s="789">
        <f t="shared" si="5"/>
        <v>57672.006842105257</v>
      </c>
      <c r="F126" s="736">
        <f t="shared" si="1"/>
        <v>744930.08837719425</v>
      </c>
      <c r="G126" s="794">
        <f t="shared" si="2"/>
        <v>145249.14711978519</v>
      </c>
      <c r="H126" s="795">
        <f t="shared" si="3"/>
        <v>145249.14711978519</v>
      </c>
      <c r="I126" s="792">
        <f t="shared" si="4"/>
        <v>0</v>
      </c>
      <c r="J126" s="792"/>
      <c r="K126" s="812"/>
      <c r="L126" s="796"/>
      <c r="M126" s="812"/>
      <c r="N126" s="796"/>
      <c r="O126" s="796"/>
    </row>
    <row r="127" spans="3:15">
      <c r="C127" s="788">
        <f>IF(D95="","-",+C126+1)</f>
        <v>2040</v>
      </c>
      <c r="D127" s="736">
        <f t="shared" si="0"/>
        <v>744930.08837719425</v>
      </c>
      <c r="E127" s="789">
        <f t="shared" si="5"/>
        <v>57672.006842105257</v>
      </c>
      <c r="F127" s="736">
        <f t="shared" si="1"/>
        <v>687258.08153508895</v>
      </c>
      <c r="G127" s="794">
        <f t="shared" si="2"/>
        <v>138721.65840343639</v>
      </c>
      <c r="H127" s="795">
        <f t="shared" si="3"/>
        <v>138721.65840343639</v>
      </c>
      <c r="I127" s="792">
        <f t="shared" si="4"/>
        <v>0</v>
      </c>
      <c r="J127" s="792"/>
      <c r="K127" s="812"/>
      <c r="L127" s="796"/>
      <c r="M127" s="812"/>
      <c r="N127" s="796"/>
      <c r="O127" s="796"/>
    </row>
    <row r="128" spans="3:15">
      <c r="C128" s="788">
        <f>IF(D95="","-",+C127+1)</f>
        <v>2041</v>
      </c>
      <c r="D128" s="736">
        <f t="shared" si="0"/>
        <v>687258.08153508895</v>
      </c>
      <c r="E128" s="789">
        <f t="shared" si="5"/>
        <v>57672.006842105257</v>
      </c>
      <c r="F128" s="736">
        <f t="shared" si="1"/>
        <v>629586.07469298365</v>
      </c>
      <c r="G128" s="794">
        <f t="shared" si="2"/>
        <v>132194.16968708759</v>
      </c>
      <c r="H128" s="795">
        <f t="shared" si="3"/>
        <v>132194.16968708759</v>
      </c>
      <c r="I128" s="792">
        <f t="shared" si="4"/>
        <v>0</v>
      </c>
      <c r="J128" s="792"/>
      <c r="K128" s="812"/>
      <c r="L128" s="796"/>
      <c r="M128" s="812"/>
      <c r="N128" s="796"/>
      <c r="O128" s="796"/>
    </row>
    <row r="129" spans="3:15">
      <c r="C129" s="788">
        <f>IF(D95="","-",+C128+1)</f>
        <v>2042</v>
      </c>
      <c r="D129" s="736">
        <f t="shared" si="0"/>
        <v>629586.07469298365</v>
      </c>
      <c r="E129" s="789">
        <f t="shared" si="5"/>
        <v>57672.006842105257</v>
      </c>
      <c r="F129" s="736">
        <f t="shared" si="1"/>
        <v>571914.06785087835</v>
      </c>
      <c r="G129" s="790">
        <f t="shared" si="2"/>
        <v>125666.68097073877</v>
      </c>
      <c r="H129" s="795">
        <f t="shared" si="3"/>
        <v>125666.68097073877</v>
      </c>
      <c r="I129" s="792">
        <f t="shared" si="4"/>
        <v>0</v>
      </c>
      <c r="J129" s="792"/>
      <c r="K129" s="812"/>
      <c r="L129" s="796"/>
      <c r="M129" s="812"/>
      <c r="N129" s="796"/>
      <c r="O129" s="796"/>
    </row>
    <row r="130" spans="3:15">
      <c r="C130" s="788">
        <f>IF(D95="","-",+C129+1)</f>
        <v>2043</v>
      </c>
      <c r="D130" s="736">
        <f t="shared" si="0"/>
        <v>571914.06785087835</v>
      </c>
      <c r="E130" s="789">
        <f t="shared" si="5"/>
        <v>57672.006842105257</v>
      </c>
      <c r="F130" s="736">
        <f t="shared" si="1"/>
        <v>514242.0610087731</v>
      </c>
      <c r="G130" s="794">
        <f t="shared" si="2"/>
        <v>119139.19225438996</v>
      </c>
      <c r="H130" s="795">
        <f t="shared" si="3"/>
        <v>119139.19225438996</v>
      </c>
      <c r="I130" s="792">
        <f t="shared" si="4"/>
        <v>0</v>
      </c>
      <c r="J130" s="792"/>
      <c r="K130" s="812"/>
      <c r="L130" s="796"/>
      <c r="M130" s="812"/>
      <c r="N130" s="796"/>
      <c r="O130" s="796"/>
    </row>
    <row r="131" spans="3:15">
      <c r="C131" s="788">
        <f>IF(D95="","-",+C130+1)</f>
        <v>2044</v>
      </c>
      <c r="D131" s="736">
        <f t="shared" si="0"/>
        <v>514242.0610087731</v>
      </c>
      <c r="E131" s="789">
        <f t="shared" si="5"/>
        <v>57672.006842105257</v>
      </c>
      <c r="F131" s="736">
        <f t="shared" si="1"/>
        <v>456570.05416666786</v>
      </c>
      <c r="G131" s="794">
        <f t="shared" si="2"/>
        <v>112611.70353804115</v>
      </c>
      <c r="H131" s="795">
        <f t="shared" si="3"/>
        <v>112611.70353804115</v>
      </c>
      <c r="I131" s="792">
        <f t="shared" si="4"/>
        <v>0</v>
      </c>
      <c r="J131" s="792"/>
      <c r="K131" s="812"/>
      <c r="L131" s="796"/>
      <c r="M131" s="812"/>
      <c r="N131" s="796"/>
      <c r="O131" s="796"/>
    </row>
    <row r="132" spans="3:15">
      <c r="C132" s="788">
        <f>IF(D95="","-",+C131+1)</f>
        <v>2045</v>
      </c>
      <c r="D132" s="736">
        <f t="shared" si="0"/>
        <v>456570.05416666786</v>
      </c>
      <c r="E132" s="789">
        <f t="shared" si="5"/>
        <v>57672.006842105257</v>
      </c>
      <c r="F132" s="736">
        <f t="shared" si="1"/>
        <v>398898.04732456262</v>
      </c>
      <c r="G132" s="794">
        <f t="shared" si="2"/>
        <v>106084.21482169235</v>
      </c>
      <c r="H132" s="795">
        <f t="shared" si="3"/>
        <v>106084.21482169235</v>
      </c>
      <c r="I132" s="792">
        <f t="shared" si="4"/>
        <v>0</v>
      </c>
      <c r="J132" s="792"/>
      <c r="K132" s="812"/>
      <c r="L132" s="796"/>
      <c r="M132" s="812"/>
      <c r="N132" s="796"/>
      <c r="O132" s="796"/>
    </row>
    <row r="133" spans="3:15">
      <c r="C133" s="788">
        <f>IF(D95="","-",+C132+1)</f>
        <v>2046</v>
      </c>
      <c r="D133" s="736">
        <f t="shared" si="0"/>
        <v>398898.04732456262</v>
      </c>
      <c r="E133" s="789">
        <f t="shared" si="5"/>
        <v>57672.006842105257</v>
      </c>
      <c r="F133" s="736">
        <f t="shared" si="1"/>
        <v>341226.04048245738</v>
      </c>
      <c r="G133" s="794">
        <f t="shared" si="2"/>
        <v>99556.72610534355</v>
      </c>
      <c r="H133" s="795">
        <f t="shared" si="3"/>
        <v>99556.72610534355</v>
      </c>
      <c r="I133" s="792">
        <f t="shared" si="4"/>
        <v>0</v>
      </c>
      <c r="J133" s="792"/>
      <c r="K133" s="812"/>
      <c r="L133" s="796"/>
      <c r="M133" s="812"/>
      <c r="N133" s="796"/>
      <c r="O133" s="796"/>
    </row>
    <row r="134" spans="3:15">
      <c r="C134" s="788">
        <f>IF(D95="","-",+C133+1)</f>
        <v>2047</v>
      </c>
      <c r="D134" s="736">
        <f t="shared" si="0"/>
        <v>341226.04048245738</v>
      </c>
      <c r="E134" s="789">
        <f t="shared" si="5"/>
        <v>57672.006842105257</v>
      </c>
      <c r="F134" s="736">
        <f t="shared" si="1"/>
        <v>283554.03364035214</v>
      </c>
      <c r="G134" s="794">
        <f t="shared" si="2"/>
        <v>93029.237388994748</v>
      </c>
      <c r="H134" s="795">
        <f t="shared" si="3"/>
        <v>93029.237388994748</v>
      </c>
      <c r="I134" s="792">
        <f t="shared" si="4"/>
        <v>0</v>
      </c>
      <c r="J134" s="792"/>
      <c r="K134" s="812"/>
      <c r="L134" s="796"/>
      <c r="M134" s="812"/>
      <c r="N134" s="796"/>
      <c r="O134" s="796"/>
    </row>
    <row r="135" spans="3:15">
      <c r="C135" s="788">
        <f>IF(D95="","-",+C134+1)</f>
        <v>2048</v>
      </c>
      <c r="D135" s="736">
        <f t="shared" si="0"/>
        <v>283554.03364035214</v>
      </c>
      <c r="E135" s="789">
        <f t="shared" si="5"/>
        <v>57672.006842105257</v>
      </c>
      <c r="F135" s="736">
        <f t="shared" si="1"/>
        <v>225882.02679824689</v>
      </c>
      <c r="G135" s="794">
        <f t="shared" si="2"/>
        <v>86501.748672645946</v>
      </c>
      <c r="H135" s="795">
        <f t="shared" si="3"/>
        <v>86501.748672645946</v>
      </c>
      <c r="I135" s="792">
        <f t="shared" si="4"/>
        <v>0</v>
      </c>
      <c r="J135" s="792"/>
      <c r="K135" s="812"/>
      <c r="L135" s="796"/>
      <c r="M135" s="812"/>
      <c r="N135" s="796"/>
      <c r="O135" s="796"/>
    </row>
    <row r="136" spans="3:15">
      <c r="C136" s="788">
        <f>IF(D95="","-",+C135+1)</f>
        <v>2049</v>
      </c>
      <c r="D136" s="736">
        <f t="shared" si="0"/>
        <v>225882.02679824689</v>
      </c>
      <c r="E136" s="789">
        <f t="shared" si="5"/>
        <v>57672.006842105257</v>
      </c>
      <c r="F136" s="736">
        <f t="shared" si="1"/>
        <v>168210.01995614165</v>
      </c>
      <c r="G136" s="794">
        <f t="shared" si="2"/>
        <v>79974.259956297145</v>
      </c>
      <c r="H136" s="795">
        <f t="shared" si="3"/>
        <v>79974.259956297145</v>
      </c>
      <c r="I136" s="792">
        <f t="shared" si="4"/>
        <v>0</v>
      </c>
      <c r="J136" s="792"/>
      <c r="K136" s="812"/>
      <c r="L136" s="796"/>
      <c r="M136" s="812"/>
      <c r="N136" s="796"/>
      <c r="O136" s="796"/>
    </row>
    <row r="137" spans="3:15">
      <c r="C137" s="788">
        <f>IF(D95="","-",+C136+1)</f>
        <v>2050</v>
      </c>
      <c r="D137" s="736">
        <f t="shared" si="0"/>
        <v>168210.01995614165</v>
      </c>
      <c r="E137" s="789">
        <f t="shared" si="5"/>
        <v>57672.006842105257</v>
      </c>
      <c r="F137" s="736">
        <f t="shared" si="1"/>
        <v>110538.0131140364</v>
      </c>
      <c r="G137" s="794">
        <f t="shared" si="2"/>
        <v>73446.771239948343</v>
      </c>
      <c r="H137" s="795">
        <f t="shared" si="3"/>
        <v>73446.771239948343</v>
      </c>
      <c r="I137" s="792">
        <f t="shared" si="4"/>
        <v>0</v>
      </c>
      <c r="J137" s="792"/>
      <c r="K137" s="812"/>
      <c r="L137" s="796"/>
      <c r="M137" s="812"/>
      <c r="N137" s="796"/>
      <c r="O137" s="796"/>
    </row>
    <row r="138" spans="3:15">
      <c r="C138" s="788">
        <f>IF(D95="","-",+C137+1)</f>
        <v>2051</v>
      </c>
      <c r="D138" s="736">
        <f t="shared" si="0"/>
        <v>110538.0131140364</v>
      </c>
      <c r="E138" s="789">
        <f t="shared" si="5"/>
        <v>57672.006842105257</v>
      </c>
      <c r="F138" s="736">
        <f t="shared" si="1"/>
        <v>52866.006271931139</v>
      </c>
      <c r="G138" s="794">
        <f t="shared" si="2"/>
        <v>66919.282523599541</v>
      </c>
      <c r="H138" s="795">
        <f t="shared" si="3"/>
        <v>66919.282523599541</v>
      </c>
      <c r="I138" s="792">
        <f t="shared" si="4"/>
        <v>0</v>
      </c>
      <c r="J138" s="792"/>
      <c r="K138" s="812"/>
      <c r="L138" s="796"/>
      <c r="M138" s="812"/>
      <c r="N138" s="796"/>
      <c r="O138" s="796"/>
    </row>
    <row r="139" spans="3:15">
      <c r="C139" s="788">
        <f>IF(D95="","-",+C138+1)</f>
        <v>2052</v>
      </c>
      <c r="D139" s="736">
        <f t="shared" si="0"/>
        <v>52866.006271931139</v>
      </c>
      <c r="E139" s="789">
        <f t="shared" si="5"/>
        <v>52866.006271931139</v>
      </c>
      <c r="F139" s="736">
        <f t="shared" si="1"/>
        <v>0</v>
      </c>
      <c r="G139" s="794">
        <f t="shared" si="2"/>
        <v>55857.771933591081</v>
      </c>
      <c r="H139" s="795">
        <f t="shared" si="3"/>
        <v>55857.771933591081</v>
      </c>
      <c r="I139" s="792">
        <f t="shared" si="4"/>
        <v>0</v>
      </c>
      <c r="J139" s="792"/>
      <c r="K139" s="812"/>
      <c r="L139" s="796"/>
      <c r="M139" s="812"/>
      <c r="N139" s="796"/>
      <c r="O139" s="796"/>
    </row>
    <row r="140" spans="3:15">
      <c r="C140" s="788">
        <f>IF(D95="","-",+C139+1)</f>
        <v>2053</v>
      </c>
      <c r="D140" s="736">
        <f t="shared" si="0"/>
        <v>0</v>
      </c>
      <c r="E140" s="789">
        <f t="shared" si="5"/>
        <v>0</v>
      </c>
      <c r="F140" s="736">
        <f t="shared" si="1"/>
        <v>0</v>
      </c>
      <c r="G140" s="794">
        <f t="shared" si="2"/>
        <v>0</v>
      </c>
      <c r="H140" s="795">
        <f t="shared" si="3"/>
        <v>0</v>
      </c>
      <c r="I140" s="792">
        <f t="shared" si="4"/>
        <v>0</v>
      </c>
      <c r="J140" s="792"/>
      <c r="K140" s="812"/>
      <c r="L140" s="796"/>
      <c r="M140" s="812"/>
      <c r="N140" s="796"/>
      <c r="O140" s="796"/>
    </row>
    <row r="141" spans="3:15">
      <c r="C141" s="788">
        <f>IF(D95="","-",+C140+1)</f>
        <v>2054</v>
      </c>
      <c r="D141" s="736">
        <f t="shared" si="0"/>
        <v>0</v>
      </c>
      <c r="E141" s="789">
        <f t="shared" si="5"/>
        <v>0</v>
      </c>
      <c r="F141" s="736">
        <f t="shared" si="1"/>
        <v>0</v>
      </c>
      <c r="G141" s="794">
        <f t="shared" si="2"/>
        <v>0</v>
      </c>
      <c r="H141" s="795">
        <f t="shared" si="3"/>
        <v>0</v>
      </c>
      <c r="I141" s="792">
        <f t="shared" si="4"/>
        <v>0</v>
      </c>
      <c r="J141" s="792"/>
      <c r="K141" s="812"/>
      <c r="L141" s="796"/>
      <c r="M141" s="812"/>
      <c r="N141" s="796"/>
      <c r="O141" s="796"/>
    </row>
    <row r="142" spans="3:15">
      <c r="C142" s="788">
        <f>IF(D95="","-",+C141+1)</f>
        <v>2055</v>
      </c>
      <c r="D142" s="736">
        <f t="shared" si="0"/>
        <v>0</v>
      </c>
      <c r="E142" s="789">
        <f t="shared" si="5"/>
        <v>0</v>
      </c>
      <c r="F142" s="736">
        <f t="shared" si="1"/>
        <v>0</v>
      </c>
      <c r="G142" s="794">
        <f t="shared" si="2"/>
        <v>0</v>
      </c>
      <c r="H142" s="795">
        <f t="shared" si="3"/>
        <v>0</v>
      </c>
      <c r="I142" s="792">
        <f t="shared" si="4"/>
        <v>0</v>
      </c>
      <c r="J142" s="792"/>
      <c r="K142" s="812"/>
      <c r="L142" s="796"/>
      <c r="M142" s="812"/>
      <c r="N142" s="796"/>
      <c r="O142" s="796"/>
    </row>
    <row r="143" spans="3:15">
      <c r="C143" s="788">
        <f>IF(D95="","-",+C142+1)</f>
        <v>2056</v>
      </c>
      <c r="D143" s="736">
        <f t="shared" si="0"/>
        <v>0</v>
      </c>
      <c r="E143" s="789">
        <f t="shared" si="5"/>
        <v>0</v>
      </c>
      <c r="F143" s="736">
        <f t="shared" si="1"/>
        <v>0</v>
      </c>
      <c r="G143" s="794">
        <f t="shared" si="2"/>
        <v>0</v>
      </c>
      <c r="H143" s="795">
        <f t="shared" si="3"/>
        <v>0</v>
      </c>
      <c r="I143" s="792">
        <f t="shared" si="4"/>
        <v>0</v>
      </c>
      <c r="J143" s="792"/>
      <c r="K143" s="812"/>
      <c r="L143" s="796"/>
      <c r="M143" s="812"/>
      <c r="N143" s="796"/>
      <c r="O143" s="796"/>
    </row>
    <row r="144" spans="3:15">
      <c r="C144" s="788">
        <f>IF(D95="","-",+C143+1)</f>
        <v>2057</v>
      </c>
      <c r="D144" s="736">
        <f t="shared" si="0"/>
        <v>0</v>
      </c>
      <c r="E144" s="789">
        <f t="shared" si="5"/>
        <v>0</v>
      </c>
      <c r="F144" s="736">
        <f t="shared" si="1"/>
        <v>0</v>
      </c>
      <c r="G144" s="794">
        <f t="shared" si="2"/>
        <v>0</v>
      </c>
      <c r="H144" s="795">
        <f t="shared" si="3"/>
        <v>0</v>
      </c>
      <c r="I144" s="792">
        <f t="shared" si="4"/>
        <v>0</v>
      </c>
      <c r="J144" s="792"/>
      <c r="K144" s="812"/>
      <c r="L144" s="796"/>
      <c r="M144" s="812"/>
      <c r="N144" s="796"/>
      <c r="O144" s="796"/>
    </row>
    <row r="145" spans="3:15">
      <c r="C145" s="788">
        <f>IF(D95="","-",+C144+1)</f>
        <v>2058</v>
      </c>
      <c r="D145" s="736">
        <f t="shared" si="0"/>
        <v>0</v>
      </c>
      <c r="E145" s="789">
        <f t="shared" si="5"/>
        <v>0</v>
      </c>
      <c r="F145" s="736">
        <f t="shared" si="1"/>
        <v>0</v>
      </c>
      <c r="G145" s="794">
        <f t="shared" si="2"/>
        <v>0</v>
      </c>
      <c r="H145" s="795">
        <f t="shared" si="3"/>
        <v>0</v>
      </c>
      <c r="I145" s="792">
        <f t="shared" si="4"/>
        <v>0</v>
      </c>
      <c r="J145" s="792"/>
      <c r="K145" s="812"/>
      <c r="L145" s="796"/>
      <c r="M145" s="812"/>
      <c r="N145" s="796"/>
      <c r="O145" s="796"/>
    </row>
    <row r="146" spans="3:15">
      <c r="C146" s="788">
        <f>IF(D95="","-",+C145+1)</f>
        <v>2059</v>
      </c>
      <c r="D146" s="736">
        <f t="shared" si="0"/>
        <v>0</v>
      </c>
      <c r="E146" s="789">
        <f t="shared" si="5"/>
        <v>0</v>
      </c>
      <c r="F146" s="736">
        <f t="shared" si="1"/>
        <v>0</v>
      </c>
      <c r="G146" s="794">
        <f t="shared" si="2"/>
        <v>0</v>
      </c>
      <c r="H146" s="795">
        <f t="shared" si="3"/>
        <v>0</v>
      </c>
      <c r="I146" s="792">
        <f t="shared" si="4"/>
        <v>0</v>
      </c>
      <c r="J146" s="792"/>
      <c r="K146" s="812"/>
      <c r="L146" s="796"/>
      <c r="M146" s="812"/>
      <c r="N146" s="796"/>
      <c r="O146" s="796"/>
    </row>
    <row r="147" spans="3:15">
      <c r="C147" s="788">
        <f>IF(D95="","-",+C146+1)</f>
        <v>2060</v>
      </c>
      <c r="D147" s="736">
        <f t="shared" si="0"/>
        <v>0</v>
      </c>
      <c r="E147" s="789">
        <f t="shared" si="5"/>
        <v>0</v>
      </c>
      <c r="F147" s="736">
        <f t="shared" si="1"/>
        <v>0</v>
      </c>
      <c r="G147" s="794">
        <f t="shared" si="2"/>
        <v>0</v>
      </c>
      <c r="H147" s="795">
        <f t="shared" si="3"/>
        <v>0</v>
      </c>
      <c r="I147" s="792">
        <f t="shared" si="4"/>
        <v>0</v>
      </c>
      <c r="J147" s="792"/>
      <c r="K147" s="812"/>
      <c r="L147" s="796"/>
      <c r="M147" s="812"/>
      <c r="N147" s="796"/>
      <c r="O147" s="796"/>
    </row>
    <row r="148" spans="3:15">
      <c r="C148" s="788">
        <f>IF(D95="","-",+C147+1)</f>
        <v>2061</v>
      </c>
      <c r="D148" s="736">
        <f t="shared" si="0"/>
        <v>0</v>
      </c>
      <c r="E148" s="789">
        <f t="shared" si="5"/>
        <v>0</v>
      </c>
      <c r="F148" s="736">
        <f t="shared" si="1"/>
        <v>0</v>
      </c>
      <c r="G148" s="794">
        <f t="shared" si="2"/>
        <v>0</v>
      </c>
      <c r="H148" s="795">
        <f t="shared" si="3"/>
        <v>0</v>
      </c>
      <c r="I148" s="792">
        <f t="shared" si="4"/>
        <v>0</v>
      </c>
      <c r="J148" s="792"/>
      <c r="K148" s="812"/>
      <c r="L148" s="796"/>
      <c r="M148" s="812"/>
      <c r="N148" s="796"/>
      <c r="O148" s="796"/>
    </row>
    <row r="149" spans="3:15">
      <c r="C149" s="788">
        <f>IF(D95="","-",+C148+1)</f>
        <v>2062</v>
      </c>
      <c r="D149" s="736">
        <f t="shared" si="0"/>
        <v>0</v>
      </c>
      <c r="E149" s="789">
        <f t="shared" si="5"/>
        <v>0</v>
      </c>
      <c r="F149" s="736">
        <f t="shared" si="1"/>
        <v>0</v>
      </c>
      <c r="G149" s="794">
        <f t="shared" si="2"/>
        <v>0</v>
      </c>
      <c r="H149" s="795">
        <f t="shared" si="3"/>
        <v>0</v>
      </c>
      <c r="I149" s="792">
        <f t="shared" si="4"/>
        <v>0</v>
      </c>
      <c r="J149" s="792"/>
      <c r="K149" s="812"/>
      <c r="L149" s="796"/>
      <c r="M149" s="812"/>
      <c r="N149" s="796"/>
      <c r="O149" s="796"/>
    </row>
    <row r="150" spans="3:15">
      <c r="C150" s="788">
        <f>IF(D95="","-",+C149+1)</f>
        <v>2063</v>
      </c>
      <c r="D150" s="736">
        <f t="shared" si="0"/>
        <v>0</v>
      </c>
      <c r="E150" s="789">
        <f t="shared" si="5"/>
        <v>0</v>
      </c>
      <c r="F150" s="736">
        <f t="shared" si="1"/>
        <v>0</v>
      </c>
      <c r="G150" s="794">
        <f t="shared" si="2"/>
        <v>0</v>
      </c>
      <c r="H150" s="795">
        <f t="shared" si="3"/>
        <v>0</v>
      </c>
      <c r="I150" s="792">
        <f t="shared" si="4"/>
        <v>0</v>
      </c>
      <c r="J150" s="792"/>
      <c r="K150" s="812"/>
      <c r="L150" s="796"/>
      <c r="M150" s="812"/>
      <c r="N150" s="796"/>
      <c r="O150" s="796"/>
    </row>
    <row r="151" spans="3:15">
      <c r="C151" s="788">
        <f>IF(D95="","-",+C150+1)</f>
        <v>2064</v>
      </c>
      <c r="D151" s="736">
        <f t="shared" si="0"/>
        <v>0</v>
      </c>
      <c r="E151" s="789">
        <f t="shared" si="5"/>
        <v>0</v>
      </c>
      <c r="F151" s="736">
        <f t="shared" si="1"/>
        <v>0</v>
      </c>
      <c r="G151" s="794">
        <f t="shared" si="2"/>
        <v>0</v>
      </c>
      <c r="H151" s="795">
        <f t="shared" si="3"/>
        <v>0</v>
      </c>
      <c r="I151" s="792">
        <f t="shared" si="4"/>
        <v>0</v>
      </c>
      <c r="J151" s="792"/>
      <c r="K151" s="812"/>
      <c r="L151" s="796"/>
      <c r="M151" s="812"/>
      <c r="N151" s="796"/>
      <c r="O151" s="796"/>
    </row>
    <row r="152" spans="3:15">
      <c r="C152" s="788">
        <f>IF(D95="","-",+C151+1)</f>
        <v>2065</v>
      </c>
      <c r="D152" s="736">
        <f t="shared" si="0"/>
        <v>0</v>
      </c>
      <c r="E152" s="789">
        <f t="shared" si="5"/>
        <v>0</v>
      </c>
      <c r="F152" s="736">
        <f t="shared" si="1"/>
        <v>0</v>
      </c>
      <c r="G152" s="794">
        <f t="shared" si="2"/>
        <v>0</v>
      </c>
      <c r="H152" s="795">
        <f t="shared" si="3"/>
        <v>0</v>
      </c>
      <c r="I152" s="792">
        <f t="shared" si="4"/>
        <v>0</v>
      </c>
      <c r="J152" s="792"/>
      <c r="K152" s="812"/>
      <c r="L152" s="796"/>
      <c r="M152" s="812"/>
      <c r="N152" s="796"/>
      <c r="O152" s="796"/>
    </row>
    <row r="153" spans="3:15">
      <c r="C153" s="788">
        <f>IF(D95="","-",+C152+1)</f>
        <v>2066</v>
      </c>
      <c r="D153" s="736">
        <f t="shared" si="0"/>
        <v>0</v>
      </c>
      <c r="E153" s="789">
        <f t="shared" si="5"/>
        <v>0</v>
      </c>
      <c r="F153" s="736">
        <f t="shared" si="1"/>
        <v>0</v>
      </c>
      <c r="G153" s="794">
        <f t="shared" si="2"/>
        <v>0</v>
      </c>
      <c r="H153" s="795">
        <f t="shared" si="3"/>
        <v>0</v>
      </c>
      <c r="I153" s="792">
        <f t="shared" si="4"/>
        <v>0</v>
      </c>
      <c r="J153" s="792"/>
      <c r="K153" s="812"/>
      <c r="L153" s="796"/>
      <c r="M153" s="812"/>
      <c r="N153" s="796"/>
      <c r="O153" s="796"/>
    </row>
    <row r="154" spans="3:15">
      <c r="C154" s="788">
        <f>IF(D95="","-",+C153+1)</f>
        <v>2067</v>
      </c>
      <c r="D154" s="736">
        <f t="shared" si="0"/>
        <v>0</v>
      </c>
      <c r="E154" s="789">
        <f t="shared" si="5"/>
        <v>0</v>
      </c>
      <c r="F154" s="736">
        <f t="shared" si="1"/>
        <v>0</v>
      </c>
      <c r="G154" s="794">
        <f t="shared" si="2"/>
        <v>0</v>
      </c>
      <c r="H154" s="795">
        <f t="shared" si="3"/>
        <v>0</v>
      </c>
      <c r="I154" s="792">
        <f t="shared" si="4"/>
        <v>0</v>
      </c>
      <c r="J154" s="792"/>
      <c r="K154" s="812"/>
      <c r="L154" s="796"/>
      <c r="M154" s="812"/>
      <c r="N154" s="796"/>
      <c r="O154" s="796"/>
    </row>
    <row r="155" spans="3:15">
      <c r="C155" s="788">
        <f>IF(D95="","-",+C154+1)</f>
        <v>2068</v>
      </c>
      <c r="D155" s="736">
        <f t="shared" si="0"/>
        <v>0</v>
      </c>
      <c r="E155" s="789">
        <f t="shared" si="5"/>
        <v>0</v>
      </c>
      <c r="F155" s="736">
        <f t="shared" si="1"/>
        <v>0</v>
      </c>
      <c r="G155" s="794">
        <f t="shared" si="2"/>
        <v>0</v>
      </c>
      <c r="H155" s="795">
        <f t="shared" si="3"/>
        <v>0</v>
      </c>
      <c r="I155" s="792">
        <f t="shared" si="4"/>
        <v>0</v>
      </c>
      <c r="J155" s="792"/>
      <c r="K155" s="812"/>
      <c r="L155" s="796"/>
      <c r="M155" s="812"/>
      <c r="N155" s="796"/>
      <c r="O155" s="796"/>
    </row>
    <row r="156" spans="3:15">
      <c r="C156" s="788">
        <f>IF(D95="","-",+C155+1)</f>
        <v>2069</v>
      </c>
      <c r="D156" s="736">
        <f t="shared" si="0"/>
        <v>0</v>
      </c>
      <c r="E156" s="789">
        <f t="shared" si="5"/>
        <v>0</v>
      </c>
      <c r="F156" s="736">
        <f t="shared" si="1"/>
        <v>0</v>
      </c>
      <c r="G156" s="794">
        <f t="shared" si="2"/>
        <v>0</v>
      </c>
      <c r="H156" s="795">
        <f t="shared" si="3"/>
        <v>0</v>
      </c>
      <c r="I156" s="792">
        <f t="shared" si="4"/>
        <v>0</v>
      </c>
      <c r="J156" s="792"/>
      <c r="K156" s="812"/>
      <c r="L156" s="796"/>
      <c r="M156" s="812"/>
      <c r="N156" s="796"/>
      <c r="O156" s="796"/>
    </row>
    <row r="157" spans="3:15">
      <c r="C157" s="788">
        <f>IF(D95="","-",+C156+1)</f>
        <v>2070</v>
      </c>
      <c r="D157" s="736">
        <f t="shared" si="0"/>
        <v>0</v>
      </c>
      <c r="E157" s="789">
        <f t="shared" si="5"/>
        <v>0</v>
      </c>
      <c r="F157" s="736">
        <f t="shared" si="1"/>
        <v>0</v>
      </c>
      <c r="G157" s="794">
        <f t="shared" si="2"/>
        <v>0</v>
      </c>
      <c r="H157" s="795">
        <f t="shared" si="3"/>
        <v>0</v>
      </c>
      <c r="I157" s="792">
        <f t="shared" si="4"/>
        <v>0</v>
      </c>
      <c r="J157" s="792"/>
      <c r="K157" s="812"/>
      <c r="L157" s="796"/>
      <c r="M157" s="812"/>
      <c r="N157" s="796"/>
      <c r="O157" s="796"/>
    </row>
    <row r="158" spans="3:15">
      <c r="C158" s="788">
        <f>IF(D95="","-",+C157+1)</f>
        <v>2071</v>
      </c>
      <c r="D158" s="736">
        <f t="shared" si="0"/>
        <v>0</v>
      </c>
      <c r="E158" s="789">
        <f t="shared" si="5"/>
        <v>0</v>
      </c>
      <c r="F158" s="736">
        <f t="shared" si="1"/>
        <v>0</v>
      </c>
      <c r="G158" s="794">
        <f t="shared" si="2"/>
        <v>0</v>
      </c>
      <c r="H158" s="795">
        <f t="shared" si="3"/>
        <v>0</v>
      </c>
      <c r="I158" s="792">
        <f t="shared" si="4"/>
        <v>0</v>
      </c>
      <c r="J158" s="792"/>
      <c r="K158" s="812"/>
      <c r="L158" s="796"/>
      <c r="M158" s="812"/>
      <c r="N158" s="796"/>
      <c r="O158" s="796"/>
    </row>
    <row r="159" spans="3:15">
      <c r="C159" s="788">
        <f>IF(D95="","-",+C158+1)</f>
        <v>2072</v>
      </c>
      <c r="D159" s="736">
        <f t="shared" si="0"/>
        <v>0</v>
      </c>
      <c r="E159" s="789">
        <f t="shared" si="5"/>
        <v>0</v>
      </c>
      <c r="F159" s="736">
        <f t="shared" si="1"/>
        <v>0</v>
      </c>
      <c r="G159" s="794">
        <f t="shared" si="2"/>
        <v>0</v>
      </c>
      <c r="H159" s="795">
        <f t="shared" si="3"/>
        <v>0</v>
      </c>
      <c r="I159" s="792">
        <f t="shared" si="4"/>
        <v>0</v>
      </c>
      <c r="J159" s="792"/>
      <c r="K159" s="812"/>
      <c r="L159" s="796"/>
      <c r="M159" s="812"/>
      <c r="N159" s="796"/>
      <c r="O159" s="796"/>
    </row>
    <row r="160" spans="3:15" ht="13.5" thickBot="1">
      <c r="C160" s="798">
        <f>IF(D95="","-",+C159+1)</f>
        <v>2073</v>
      </c>
      <c r="D160" s="799">
        <f t="shared" si="0"/>
        <v>0</v>
      </c>
      <c r="E160" s="800">
        <f t="shared" si="5"/>
        <v>0</v>
      </c>
      <c r="F160" s="799">
        <f t="shared" si="1"/>
        <v>0</v>
      </c>
      <c r="G160" s="801">
        <f t="shared" si="2"/>
        <v>0</v>
      </c>
      <c r="H160" s="801">
        <f t="shared" si="3"/>
        <v>0</v>
      </c>
      <c r="I160" s="802">
        <f t="shared" si="4"/>
        <v>0</v>
      </c>
      <c r="J160" s="792"/>
      <c r="K160" s="813"/>
      <c r="L160" s="803"/>
      <c r="M160" s="813"/>
      <c r="N160" s="803"/>
      <c r="O160" s="803"/>
    </row>
    <row r="161" spans="1:16">
      <c r="C161" s="736" t="s">
        <v>83</v>
      </c>
      <c r="D161" s="730"/>
      <c r="E161" s="730">
        <f>SUM(E101:E160)</f>
        <v>2191536.2600000002</v>
      </c>
      <c r="F161" s="730"/>
      <c r="G161" s="730">
        <f>SUM(G101:G160)</f>
        <v>7131757.3034899915</v>
      </c>
      <c r="H161" s="730">
        <f>SUM(H101:H160)</f>
        <v>7131757.3034899915</v>
      </c>
      <c r="I161" s="730">
        <f>SUM(I101:I160)</f>
        <v>0</v>
      </c>
      <c r="J161" s="730"/>
      <c r="K161" s="730"/>
      <c r="L161" s="730"/>
      <c r="M161" s="730"/>
      <c r="N161" s="730"/>
      <c r="O161" s="314"/>
    </row>
    <row r="162" spans="1:16">
      <c r="D162" s="538"/>
      <c r="E162" s="314"/>
      <c r="F162" s="314"/>
      <c r="G162" s="314"/>
      <c r="H162" s="708"/>
      <c r="I162" s="708"/>
      <c r="J162" s="730"/>
      <c r="K162" s="708"/>
      <c r="L162" s="708"/>
      <c r="M162" s="708"/>
      <c r="N162" s="708"/>
      <c r="O162" s="314"/>
    </row>
    <row r="163" spans="1:16">
      <c r="C163" s="314" t="s">
        <v>13</v>
      </c>
      <c r="D163" s="538"/>
      <c r="E163" s="314"/>
      <c r="F163" s="314"/>
      <c r="G163" s="314"/>
      <c r="H163" s="708"/>
      <c r="I163" s="708"/>
      <c r="J163" s="730"/>
      <c r="K163" s="708"/>
      <c r="L163" s="708"/>
      <c r="M163" s="708"/>
      <c r="N163" s="708"/>
      <c r="O163" s="314"/>
    </row>
    <row r="164" spans="1:16">
      <c r="C164" s="314"/>
      <c r="D164" s="538"/>
      <c r="E164" s="314"/>
      <c r="F164" s="314"/>
      <c r="G164" s="314"/>
      <c r="H164" s="708"/>
      <c r="I164" s="708"/>
      <c r="J164" s="730"/>
      <c r="K164" s="708"/>
      <c r="L164" s="708"/>
      <c r="M164" s="708"/>
      <c r="N164" s="708"/>
      <c r="O164" s="314"/>
    </row>
    <row r="165" spans="1:16">
      <c r="C165" s="749" t="s">
        <v>14</v>
      </c>
      <c r="D165" s="736"/>
      <c r="E165" s="736"/>
      <c r="F165" s="736"/>
      <c r="G165" s="730"/>
      <c r="H165" s="730"/>
      <c r="I165" s="804"/>
      <c r="J165" s="804"/>
      <c r="K165" s="804"/>
      <c r="L165" s="804"/>
      <c r="M165" s="804"/>
      <c r="N165" s="804"/>
      <c r="O165" s="314"/>
    </row>
    <row r="166" spans="1:16">
      <c r="C166" s="735" t="s">
        <v>263</v>
      </c>
      <c r="D166" s="736"/>
      <c r="E166" s="736"/>
      <c r="F166" s="736"/>
      <c r="G166" s="730"/>
      <c r="H166" s="730"/>
      <c r="I166" s="804"/>
      <c r="J166" s="804"/>
      <c r="K166" s="804"/>
      <c r="L166" s="804"/>
      <c r="M166" s="804"/>
      <c r="N166" s="804"/>
      <c r="O166" s="314"/>
    </row>
    <row r="167" spans="1:16">
      <c r="C167" s="735" t="s">
        <v>84</v>
      </c>
      <c r="D167" s="736"/>
      <c r="E167" s="736"/>
      <c r="F167" s="736"/>
      <c r="G167" s="730"/>
      <c r="H167" s="730"/>
      <c r="I167" s="804"/>
      <c r="J167" s="804"/>
      <c r="K167" s="804"/>
      <c r="L167" s="804"/>
      <c r="M167" s="804"/>
      <c r="N167" s="804"/>
      <c r="O167" s="314"/>
    </row>
    <row r="168" spans="1:16">
      <c r="C168" s="735"/>
      <c r="D168" s="736"/>
      <c r="E168" s="736"/>
      <c r="F168" s="736"/>
      <c r="G168" s="730"/>
      <c r="H168" s="730"/>
      <c r="I168" s="804"/>
      <c r="J168" s="804"/>
      <c r="K168" s="804"/>
      <c r="L168" s="804"/>
      <c r="M168" s="804"/>
      <c r="N168" s="804"/>
      <c r="O168" s="314"/>
    </row>
    <row r="169" spans="1:16">
      <c r="C169" s="1526" t="s">
        <v>6</v>
      </c>
      <c r="D169" s="1526"/>
      <c r="E169" s="1526"/>
      <c r="F169" s="1526"/>
      <c r="G169" s="1526"/>
      <c r="H169" s="1526"/>
      <c r="I169" s="1526"/>
      <c r="J169" s="1526"/>
      <c r="K169" s="1526"/>
      <c r="L169" s="1526"/>
      <c r="M169" s="1526"/>
      <c r="N169" s="1526"/>
      <c r="O169" s="1526"/>
    </row>
    <row r="170" spans="1:16">
      <c r="C170" s="1526"/>
      <c r="D170" s="1526"/>
      <c r="E170" s="1526"/>
      <c r="F170" s="1526"/>
      <c r="G170" s="1526"/>
      <c r="H170" s="1526"/>
      <c r="I170" s="1526"/>
      <c r="J170" s="1526"/>
      <c r="K170" s="1526"/>
      <c r="L170" s="1526"/>
      <c r="M170" s="1526"/>
      <c r="N170" s="1526"/>
      <c r="O170" s="1526"/>
    </row>
    <row r="171" spans="1:16">
      <c r="C171" s="735"/>
      <c r="D171" s="736"/>
      <c r="E171" s="736"/>
      <c r="F171" s="736"/>
      <c r="G171" s="730"/>
      <c r="H171" s="730"/>
    </row>
    <row r="172" spans="1:16" ht="20.25">
      <c r="A172" s="737" t="str">
        <f>""&amp;A96&amp;" Worksheet J -  ATRR PROJECTED Calculation for PJM Projects Charged to Benefiting Zones"</f>
        <v xml:space="preserve"> Worksheet J -  ATRR PROJECTED Calculation for PJM Projects Charged to Benefiting Zones</v>
      </c>
      <c r="B172" s="348"/>
      <c r="C172" s="725"/>
      <c r="D172" s="538"/>
      <c r="E172" s="314"/>
      <c r="F172" s="707"/>
      <c r="G172" s="314"/>
      <c r="H172" s="708"/>
      <c r="K172" s="564"/>
      <c r="L172" s="564"/>
      <c r="M172" s="564"/>
      <c r="N172" s="653" t="str">
        <f>"Page "&amp;SUM(P$8:P172)&amp;" of "</f>
        <v xml:space="preserve">Page 3 of </v>
      </c>
      <c r="O172" s="654">
        <f>COUNT(P$8:P$56653)</f>
        <v>12</v>
      </c>
      <c r="P172" s="738">
        <v>1</v>
      </c>
    </row>
    <row r="173" spans="1:16">
      <c r="B173" s="348"/>
      <c r="C173" s="314"/>
      <c r="D173" s="538"/>
      <c r="E173" s="314"/>
      <c r="F173" s="314"/>
      <c r="G173" s="314"/>
      <c r="H173" s="708"/>
      <c r="I173" s="314"/>
      <c r="J173" s="427"/>
      <c r="K173" s="314"/>
      <c r="L173" s="314"/>
      <c r="M173" s="314"/>
      <c r="N173" s="314"/>
      <c r="O173" s="314"/>
      <c r="P173" s="427"/>
    </row>
    <row r="174" spans="1:16" ht="18">
      <c r="B174" s="657" t="s">
        <v>464</v>
      </c>
      <c r="C174" s="739" t="s">
        <v>85</v>
      </c>
      <c r="D174" s="538"/>
      <c r="E174" s="314"/>
      <c r="F174" s="314"/>
      <c r="G174" s="314"/>
      <c r="H174" s="708"/>
      <c r="I174" s="708"/>
      <c r="J174" s="730"/>
      <c r="K174" s="708"/>
      <c r="L174" s="708"/>
      <c r="M174" s="708"/>
      <c r="N174" s="708"/>
      <c r="O174" s="314"/>
    </row>
    <row r="175" spans="1:16" ht="18.75">
      <c r="B175" s="657"/>
      <c r="C175" s="656"/>
      <c r="D175" s="538"/>
      <c r="E175" s="314"/>
      <c r="F175" s="314"/>
      <c r="G175" s="314"/>
      <c r="H175" s="708"/>
      <c r="I175" s="708"/>
      <c r="J175" s="730"/>
      <c r="K175" s="708"/>
      <c r="L175" s="708"/>
      <c r="M175" s="708"/>
      <c r="N175" s="708"/>
      <c r="O175" s="314"/>
    </row>
    <row r="176" spans="1:16" ht="18.75">
      <c r="B176" s="657"/>
      <c r="C176" s="656" t="s">
        <v>86</v>
      </c>
      <c r="D176" s="538"/>
      <c r="E176" s="314"/>
      <c r="F176" s="314"/>
      <c r="G176" s="314"/>
      <c r="H176" s="708"/>
      <c r="I176" s="708"/>
      <c r="J176" s="730"/>
      <c r="K176" s="708"/>
      <c r="L176" s="708"/>
      <c r="M176" s="708"/>
      <c r="N176" s="708"/>
      <c r="O176" s="314"/>
    </row>
    <row r="177" spans="2:15" ht="15.75" thickBot="1">
      <c r="C177" s="240"/>
      <c r="D177" s="538"/>
      <c r="E177" s="314"/>
      <c r="F177" s="314"/>
      <c r="G177" s="314"/>
      <c r="H177" s="708"/>
      <c r="I177" s="708"/>
      <c r="J177" s="730"/>
      <c r="K177" s="708"/>
      <c r="L177" s="708"/>
      <c r="M177" s="708"/>
      <c r="N177" s="708"/>
      <c r="O177" s="314"/>
    </row>
    <row r="178" spans="2:15" ht="15.75">
      <c r="C178" s="659" t="s">
        <v>87</v>
      </c>
      <c r="D178" s="538"/>
      <c r="E178" s="314"/>
      <c r="F178" s="314"/>
      <c r="G178" s="806"/>
      <c r="H178" s="314" t="s">
        <v>66</v>
      </c>
      <c r="I178" s="314"/>
      <c r="J178" s="427"/>
      <c r="K178" s="740" t="s">
        <v>91</v>
      </c>
      <c r="L178" s="741"/>
      <c r="M178" s="742"/>
      <c r="N178" s="743">
        <f>IF(I184=0,0,VLOOKUP(I184,C191:O250,5))</f>
        <v>9125643.352211209</v>
      </c>
      <c r="O178" s="314"/>
    </row>
    <row r="179" spans="2:15" ht="15.75">
      <c r="C179" s="659"/>
      <c r="D179" s="538"/>
      <c r="E179" s="314"/>
      <c r="F179" s="314"/>
      <c r="G179" s="314"/>
      <c r="H179" s="744"/>
      <c r="I179" s="744"/>
      <c r="J179" s="745"/>
      <c r="K179" s="746" t="s">
        <v>92</v>
      </c>
      <c r="L179" s="747"/>
      <c r="M179" s="427"/>
      <c r="N179" s="748">
        <f>IF(I184=0,0,VLOOKUP(I184,C191:O250,6))</f>
        <v>9125643.352211209</v>
      </c>
      <c r="O179" s="314"/>
    </row>
    <row r="180" spans="2:15" ht="13.5" thickBot="1">
      <c r="C180" s="749" t="s">
        <v>88</v>
      </c>
      <c r="D180" s="1527" t="s">
        <v>811</v>
      </c>
      <c r="E180" s="1527"/>
      <c r="F180" s="1527"/>
      <c r="G180" s="1527"/>
      <c r="H180" s="1527"/>
      <c r="I180" s="1527"/>
      <c r="J180" s="730"/>
      <c r="K180" s="750" t="s">
        <v>230</v>
      </c>
      <c r="L180" s="751"/>
      <c r="M180" s="751"/>
      <c r="N180" s="752">
        <f>+N179-N178</f>
        <v>0</v>
      </c>
      <c r="O180" s="314"/>
    </row>
    <row r="181" spans="2:15">
      <c r="C181" s="753"/>
      <c r="D181" s="754"/>
      <c r="E181" s="734"/>
      <c r="F181" s="734"/>
      <c r="G181" s="755"/>
      <c r="H181" s="708"/>
      <c r="I181" s="708"/>
      <c r="J181" s="730"/>
      <c r="K181" s="708"/>
      <c r="L181" s="708"/>
      <c r="M181" s="708"/>
      <c r="N181" s="708"/>
      <c r="O181" s="314"/>
    </row>
    <row r="182" spans="2:15" ht="13.5" thickBot="1">
      <c r="C182" s="756"/>
      <c r="D182" s="757"/>
      <c r="E182" s="755"/>
      <c r="F182" s="755"/>
      <c r="G182" s="755"/>
      <c r="H182" s="755"/>
      <c r="I182" s="755"/>
      <c r="J182" s="758"/>
      <c r="K182" s="755"/>
      <c r="L182" s="755"/>
      <c r="M182" s="755"/>
      <c r="N182" s="755"/>
      <c r="O182" s="348"/>
    </row>
    <row r="183" spans="2:15" ht="13.5" thickBot="1">
      <c r="C183" s="759" t="s">
        <v>89</v>
      </c>
      <c r="D183" s="760"/>
      <c r="E183" s="760"/>
      <c r="F183" s="760"/>
      <c r="G183" s="760"/>
      <c r="H183" s="760"/>
      <c r="I183" s="761"/>
      <c r="J183" s="762"/>
      <c r="K183" s="314"/>
      <c r="L183" s="314"/>
      <c r="M183" s="314"/>
      <c r="N183" s="314"/>
      <c r="O183" s="763"/>
    </row>
    <row r="184" spans="2:15" ht="15">
      <c r="C184" s="764" t="s">
        <v>67</v>
      </c>
      <c r="D184" s="808">
        <v>85102119.760000005</v>
      </c>
      <c r="E184" s="725" t="s">
        <v>68</v>
      </c>
      <c r="G184" s="765"/>
      <c r="H184" s="765"/>
      <c r="I184" s="766">
        <f>$L$26</f>
        <v>2025</v>
      </c>
      <c r="J184" s="554"/>
      <c r="K184" s="1528" t="s">
        <v>239</v>
      </c>
      <c r="L184" s="1528"/>
      <c r="M184" s="1528"/>
      <c r="N184" s="1528"/>
      <c r="O184" s="1528"/>
    </row>
    <row r="185" spans="2:15">
      <c r="C185" s="764" t="s">
        <v>70</v>
      </c>
      <c r="D185" s="809">
        <v>2014</v>
      </c>
      <c r="E185" s="764" t="s">
        <v>71</v>
      </c>
      <c r="F185" s="765"/>
      <c r="H185" s="173"/>
      <c r="I185" s="810">
        <f>IF(G178="",0,$F$17)</f>
        <v>0</v>
      </c>
      <c r="J185" s="767"/>
      <c r="K185" s="730" t="s">
        <v>239</v>
      </c>
    </row>
    <row r="186" spans="2:15">
      <c r="C186" s="764" t="s">
        <v>72</v>
      </c>
      <c r="D186" s="808">
        <v>8</v>
      </c>
      <c r="E186" s="764" t="s">
        <v>73</v>
      </c>
      <c r="F186" s="765"/>
      <c r="H186" s="173"/>
      <c r="I186" s="768">
        <f>$G$70</f>
        <v>0.11318296473052861</v>
      </c>
      <c r="J186" s="769"/>
      <c r="K186" s="173" t="str">
        <f>"          INPUT PROJECTED ARR (WITH &amp; WITHOUT INCENTIVES) FROM EACH PRIOR YEAR"</f>
        <v xml:space="preserve">          INPUT PROJECTED ARR (WITH &amp; WITHOUT INCENTIVES) FROM EACH PRIOR YEAR</v>
      </c>
    </row>
    <row r="187" spans="2:15">
      <c r="C187" s="764" t="s">
        <v>74</v>
      </c>
      <c r="D187" s="770">
        <f>$G$79</f>
        <v>38</v>
      </c>
      <c r="E187" s="764" t="s">
        <v>75</v>
      </c>
      <c r="F187" s="765"/>
      <c r="H187" s="173"/>
      <c r="I187" s="768">
        <f>IF(G178="",I186,$G$69)</f>
        <v>0.11318296473052861</v>
      </c>
      <c r="J187" s="771"/>
      <c r="K187" s="173" t="s">
        <v>152</v>
      </c>
    </row>
    <row r="188" spans="2:15" ht="13.5" thickBot="1">
      <c r="C188" s="764" t="s">
        <v>76</v>
      </c>
      <c r="D188" s="807" t="s">
        <v>810</v>
      </c>
      <c r="E188" s="772" t="s">
        <v>77</v>
      </c>
      <c r="F188" s="773"/>
      <c r="G188" s="774"/>
      <c r="H188" s="774"/>
      <c r="I188" s="752">
        <f>IF(D184=0,0,D184/D187)</f>
        <v>2239529.4673684211</v>
      </c>
      <c r="J188" s="730"/>
      <c r="K188" s="730" t="s">
        <v>158</v>
      </c>
      <c r="L188" s="730"/>
      <c r="M188" s="730"/>
      <c r="N188" s="730"/>
      <c r="O188" s="427"/>
    </row>
    <row r="189" spans="2:15" ht="38.25">
      <c r="B189" s="845"/>
      <c r="C189" s="775" t="s">
        <v>67</v>
      </c>
      <c r="D189" s="776" t="s">
        <v>78</v>
      </c>
      <c r="E189" s="777" t="s">
        <v>79</v>
      </c>
      <c r="F189" s="776" t="s">
        <v>80</v>
      </c>
      <c r="G189" s="777" t="s">
        <v>151</v>
      </c>
      <c r="H189" s="778" t="s">
        <v>151</v>
      </c>
      <c r="I189" s="775" t="s">
        <v>90</v>
      </c>
      <c r="J189" s="779"/>
      <c r="K189" s="777" t="s">
        <v>160</v>
      </c>
      <c r="L189" s="780"/>
      <c r="M189" s="777" t="s">
        <v>160</v>
      </c>
      <c r="N189" s="780"/>
      <c r="O189" s="780"/>
    </row>
    <row r="190" spans="2:15" ht="13.5" thickBot="1">
      <c r="C190" s="781" t="s">
        <v>467</v>
      </c>
      <c r="D190" s="782" t="s">
        <v>468</v>
      </c>
      <c r="E190" s="781" t="s">
        <v>361</v>
      </c>
      <c r="F190" s="782" t="s">
        <v>468</v>
      </c>
      <c r="G190" s="783" t="s">
        <v>93</v>
      </c>
      <c r="H190" s="784" t="s">
        <v>95</v>
      </c>
      <c r="I190" s="785" t="s">
        <v>15</v>
      </c>
      <c r="J190" s="786"/>
      <c r="K190" s="783" t="s">
        <v>82</v>
      </c>
      <c r="L190" s="787"/>
      <c r="M190" s="783" t="s">
        <v>95</v>
      </c>
      <c r="N190" s="787"/>
      <c r="O190" s="787"/>
    </row>
    <row r="191" spans="2:15">
      <c r="C191" s="788">
        <f>IF(D185= "","-",D185)</f>
        <v>2014</v>
      </c>
      <c r="D191" s="736">
        <f>+D184</f>
        <v>85102119.760000005</v>
      </c>
      <c r="E191" s="789">
        <f>+I188/12*(12-D186)</f>
        <v>746509.82245614042</v>
      </c>
      <c r="F191" s="736">
        <f>+D191-E191</f>
        <v>84355609.937543869</v>
      </c>
      <c r="G191" s="999">
        <f>+$I$96*((D191+F191)/2)+E191</f>
        <v>10336373.944292419</v>
      </c>
      <c r="H191" s="1000">
        <f>$I$97*((D191+F191)/2)+E191</f>
        <v>10336373.944292419</v>
      </c>
      <c r="I191" s="792">
        <f>+H191-G191</f>
        <v>0</v>
      </c>
      <c r="J191" s="792"/>
      <c r="K191" s="811">
        <v>2795819</v>
      </c>
      <c r="L191" s="793"/>
      <c r="M191" s="811">
        <v>2795819</v>
      </c>
      <c r="N191" s="793"/>
      <c r="O191" s="793"/>
    </row>
    <row r="192" spans="2:15">
      <c r="C192" s="788">
        <f>IF(D185="","-",+C191+1)</f>
        <v>2015</v>
      </c>
      <c r="D192" s="736">
        <f t="shared" ref="D192:D250" si="6">F191</f>
        <v>84355609.937543869</v>
      </c>
      <c r="E192" s="789">
        <f>IF(D192&gt;$I$188,$I$188,D192)</f>
        <v>2239529.4673684211</v>
      </c>
      <c r="F192" s="736">
        <f t="shared" ref="F192:F250" si="7">+D192-E192</f>
        <v>82116080.470175445</v>
      </c>
      <c r="G192" s="794">
        <f t="shared" ref="G192:G250" si="8">+$I$96*((D192+F192)/2)+E192</f>
        <v>11660409.199392606</v>
      </c>
      <c r="H192" s="795">
        <f t="shared" ref="H192:H250" si="9">$I$97*((D192+F192)/2)+E192</f>
        <v>11660409.199392606</v>
      </c>
      <c r="I192" s="792">
        <f t="shared" ref="I192:I250" si="10">+H192-G192</f>
        <v>0</v>
      </c>
      <c r="J192" s="792"/>
      <c r="K192" s="812">
        <v>9963550</v>
      </c>
      <c r="L192" s="796"/>
      <c r="M192" s="812">
        <v>9963550</v>
      </c>
      <c r="N192" s="796"/>
      <c r="O192" s="796"/>
    </row>
    <row r="193" spans="3:15">
      <c r="C193" s="788">
        <f>IF(D185="","-",+C192+1)</f>
        <v>2016</v>
      </c>
      <c r="D193" s="736">
        <f t="shared" si="6"/>
        <v>82116080.470175445</v>
      </c>
      <c r="E193" s="789">
        <f t="shared" ref="E193:E250" si="11">IF(D193&gt;$I$188,$I$188,D193)</f>
        <v>2239529.4673684211</v>
      </c>
      <c r="F193" s="736">
        <f t="shared" si="7"/>
        <v>79876551.002807021</v>
      </c>
      <c r="G193" s="794">
        <f t="shared" si="8"/>
        <v>11406932.614674468</v>
      </c>
      <c r="H193" s="795">
        <f t="shared" si="9"/>
        <v>11406932.614674468</v>
      </c>
      <c r="I193" s="792">
        <f t="shared" si="10"/>
        <v>0</v>
      </c>
      <c r="J193" s="792"/>
      <c r="K193" s="812">
        <v>9645772</v>
      </c>
      <c r="L193" s="796"/>
      <c r="M193" s="812">
        <v>9645772</v>
      </c>
      <c r="N193" s="796"/>
      <c r="O193" s="796"/>
    </row>
    <row r="194" spans="3:15">
      <c r="C194" s="788">
        <f>IF(D185="","-",+C193+1)</f>
        <v>2017</v>
      </c>
      <c r="D194" s="736">
        <f t="shared" si="6"/>
        <v>79876551.002807021</v>
      </c>
      <c r="E194" s="789">
        <f t="shared" si="11"/>
        <v>2239529.4673684211</v>
      </c>
      <c r="F194" s="736">
        <f t="shared" si="7"/>
        <v>77637021.535438597</v>
      </c>
      <c r="G194" s="794">
        <f t="shared" si="8"/>
        <v>11153456.029956326</v>
      </c>
      <c r="H194" s="795">
        <f t="shared" si="9"/>
        <v>11153456.029956326</v>
      </c>
      <c r="I194" s="792">
        <f t="shared" si="10"/>
        <v>0</v>
      </c>
      <c r="J194" s="792"/>
      <c r="K194" s="812">
        <v>10531029</v>
      </c>
      <c r="L194" s="796"/>
      <c r="M194" s="812">
        <v>10531029</v>
      </c>
      <c r="N194" s="796"/>
      <c r="O194" s="796"/>
    </row>
    <row r="195" spans="3:15">
      <c r="C195" s="1315">
        <f>IF(D185="","-",+C194+1)</f>
        <v>2018</v>
      </c>
      <c r="D195" s="736">
        <f t="shared" si="6"/>
        <v>77637021.535438597</v>
      </c>
      <c r="E195" s="789">
        <f t="shared" si="11"/>
        <v>2239529.4673684211</v>
      </c>
      <c r="F195" s="736">
        <f t="shared" si="7"/>
        <v>75397492.068070173</v>
      </c>
      <c r="G195" s="794">
        <f t="shared" si="8"/>
        <v>10899979.445238188</v>
      </c>
      <c r="H195" s="795">
        <f t="shared" si="9"/>
        <v>10899979.445238188</v>
      </c>
      <c r="I195" s="792">
        <f t="shared" si="10"/>
        <v>0</v>
      </c>
      <c r="J195" s="792"/>
      <c r="K195" s="812">
        <v>9156379</v>
      </c>
      <c r="L195" s="796"/>
      <c r="M195" s="812">
        <v>9156379</v>
      </c>
      <c r="N195" s="796"/>
      <c r="O195" s="796"/>
    </row>
    <row r="196" spans="3:15">
      <c r="C196" s="1315">
        <f>IF(D185="","-",+C195+1)</f>
        <v>2019</v>
      </c>
      <c r="D196" s="736">
        <f t="shared" si="6"/>
        <v>75397492.068070173</v>
      </c>
      <c r="E196" s="789">
        <f t="shared" si="11"/>
        <v>2239529.4673684211</v>
      </c>
      <c r="F196" s="736">
        <f t="shared" si="7"/>
        <v>73157962.600701749</v>
      </c>
      <c r="G196" s="794">
        <f t="shared" si="8"/>
        <v>10646502.860520046</v>
      </c>
      <c r="H196" s="795">
        <f t="shared" si="9"/>
        <v>10646502.860520046</v>
      </c>
      <c r="I196" s="792">
        <f t="shared" si="10"/>
        <v>0</v>
      </c>
      <c r="J196" s="792"/>
      <c r="K196" s="812">
        <v>9756826.8179598507</v>
      </c>
      <c r="L196" s="796"/>
      <c r="M196" s="812">
        <v>9756826.8179598507</v>
      </c>
      <c r="N196" s="796"/>
      <c r="O196" s="796"/>
    </row>
    <row r="197" spans="3:15">
      <c r="C197" s="1315">
        <f>IF(D185="","-",+C196+1)</f>
        <v>2020</v>
      </c>
      <c r="D197" s="736">
        <f t="shared" si="6"/>
        <v>73157962.600701749</v>
      </c>
      <c r="E197" s="789">
        <f t="shared" si="11"/>
        <v>2239529.4673684211</v>
      </c>
      <c r="F197" s="736">
        <f t="shared" si="7"/>
        <v>70918433.133333325</v>
      </c>
      <c r="G197" s="794">
        <f t="shared" si="8"/>
        <v>10393026.275801908</v>
      </c>
      <c r="H197" s="795">
        <f t="shared" si="9"/>
        <v>10393026.275801908</v>
      </c>
      <c r="I197" s="792">
        <f t="shared" si="10"/>
        <v>0</v>
      </c>
      <c r="J197" s="792"/>
      <c r="K197" s="812">
        <v>9597403.1235328056</v>
      </c>
      <c r="L197" s="796"/>
      <c r="M197" s="812">
        <v>9597403.1235328056</v>
      </c>
      <c r="N197" s="796"/>
      <c r="O197" s="796"/>
    </row>
    <row r="198" spans="3:15">
      <c r="C198" s="1315">
        <f>IF(D185="","-",+C197+1)</f>
        <v>2021</v>
      </c>
      <c r="D198" s="736">
        <f t="shared" si="6"/>
        <v>70918433.133333325</v>
      </c>
      <c r="E198" s="789">
        <f t="shared" si="11"/>
        <v>2239529.4673684211</v>
      </c>
      <c r="F198" s="736">
        <f t="shared" si="7"/>
        <v>68678903.665964901</v>
      </c>
      <c r="G198" s="794">
        <f t="shared" si="8"/>
        <v>10139549.691083768</v>
      </c>
      <c r="H198" s="795">
        <f t="shared" si="9"/>
        <v>10139549.691083768</v>
      </c>
      <c r="I198" s="792">
        <f t="shared" si="10"/>
        <v>0</v>
      </c>
      <c r="J198" s="792"/>
      <c r="K198" s="812">
        <v>9610028.6801241823</v>
      </c>
      <c r="L198" s="796"/>
      <c r="M198" s="812">
        <v>9610028.6801241823</v>
      </c>
      <c r="N198" s="796"/>
      <c r="O198" s="796"/>
    </row>
    <row r="199" spans="3:15">
      <c r="C199" s="1315">
        <f>IF(D185="","-",+C198+1)</f>
        <v>2022</v>
      </c>
      <c r="D199" s="736">
        <f t="shared" si="6"/>
        <v>68678903.665964901</v>
      </c>
      <c r="E199" s="789">
        <f t="shared" si="11"/>
        <v>2239529.4673684211</v>
      </c>
      <c r="F199" s="736">
        <f t="shared" si="7"/>
        <v>66439374.198596478</v>
      </c>
      <c r="G199" s="794">
        <f t="shared" si="8"/>
        <v>9886073.1063656285</v>
      </c>
      <c r="H199" s="795">
        <f t="shared" si="9"/>
        <v>9886073.1063656285</v>
      </c>
      <c r="I199" s="792">
        <f t="shared" si="10"/>
        <v>0</v>
      </c>
      <c r="J199" s="792"/>
      <c r="K199" s="812">
        <v>9569446.9786294643</v>
      </c>
      <c r="L199" s="796"/>
      <c r="M199" s="812">
        <v>9569446.9786294643</v>
      </c>
      <c r="N199" s="796"/>
      <c r="O199" s="796"/>
    </row>
    <row r="200" spans="3:15">
      <c r="C200" s="1315">
        <f>IF(D185="","-",+C199+1)</f>
        <v>2023</v>
      </c>
      <c r="D200" s="736">
        <f t="shared" si="6"/>
        <v>66439374.198596478</v>
      </c>
      <c r="E200" s="789">
        <f t="shared" si="11"/>
        <v>2239529.4673684211</v>
      </c>
      <c r="F200" s="736">
        <f t="shared" si="7"/>
        <v>64199844.731228054</v>
      </c>
      <c r="G200" s="794">
        <f t="shared" si="8"/>
        <v>9632596.5216474887</v>
      </c>
      <c r="H200" s="795">
        <f t="shared" si="9"/>
        <v>9632596.5216474887</v>
      </c>
      <c r="I200" s="792">
        <f t="shared" si="10"/>
        <v>0</v>
      </c>
      <c r="J200" s="792"/>
      <c r="K200" s="812">
        <v>9500769.9945428185</v>
      </c>
      <c r="L200" s="796"/>
      <c r="M200" s="812">
        <v>9500769.9945428185</v>
      </c>
      <c r="N200" s="796"/>
      <c r="O200" s="796"/>
    </row>
    <row r="201" spans="3:15">
      <c r="C201" s="1433">
        <f>IF(D185="","-",+C200+1)</f>
        <v>2024</v>
      </c>
      <c r="D201" s="736">
        <f t="shared" si="6"/>
        <v>64199844.731228054</v>
      </c>
      <c r="E201" s="789">
        <f t="shared" si="11"/>
        <v>2239529.4673684211</v>
      </c>
      <c r="F201" s="736">
        <f t="shared" si="7"/>
        <v>61960315.26385963</v>
      </c>
      <c r="G201" s="794">
        <f t="shared" si="8"/>
        <v>9379119.9369293489</v>
      </c>
      <c r="H201" s="795">
        <f t="shared" si="9"/>
        <v>9379119.9369293489</v>
      </c>
      <c r="I201" s="792">
        <f t="shared" si="10"/>
        <v>0</v>
      </c>
      <c r="J201" s="792"/>
      <c r="K201" s="812">
        <v>9442524.5149989985</v>
      </c>
      <c r="L201" s="796"/>
      <c r="M201" s="812">
        <v>9442524.5149989985</v>
      </c>
      <c r="N201" s="796"/>
      <c r="O201" s="796"/>
    </row>
    <row r="202" spans="3:15">
      <c r="C202" s="1311">
        <f>IF(D185="","-",+C201+1)</f>
        <v>2025</v>
      </c>
      <c r="D202" s="736">
        <f t="shared" si="6"/>
        <v>61960315.26385963</v>
      </c>
      <c r="E202" s="789">
        <f t="shared" si="11"/>
        <v>2239529.4673684211</v>
      </c>
      <c r="F202" s="736">
        <f t="shared" si="7"/>
        <v>59720785.796491206</v>
      </c>
      <c r="G202" s="794">
        <f t="shared" si="8"/>
        <v>9125643.352211209</v>
      </c>
      <c r="H202" s="795">
        <f t="shared" si="9"/>
        <v>9125643.352211209</v>
      </c>
      <c r="I202" s="792">
        <f t="shared" si="10"/>
        <v>0</v>
      </c>
      <c r="J202" s="792"/>
      <c r="K202" s="812"/>
      <c r="L202" s="796"/>
      <c r="M202" s="812"/>
      <c r="N202" s="796"/>
      <c r="O202" s="796"/>
    </row>
    <row r="203" spans="3:15">
      <c r="C203" s="788">
        <f>IF(D185="","-",+C202+1)</f>
        <v>2026</v>
      </c>
      <c r="D203" s="736">
        <f t="shared" si="6"/>
        <v>59720785.796491206</v>
      </c>
      <c r="E203" s="789">
        <f t="shared" si="11"/>
        <v>2239529.4673684211</v>
      </c>
      <c r="F203" s="736">
        <f t="shared" si="7"/>
        <v>57481256.329122782</v>
      </c>
      <c r="G203" s="794">
        <f t="shared" si="8"/>
        <v>8872166.7674930692</v>
      </c>
      <c r="H203" s="795">
        <f t="shared" si="9"/>
        <v>8872166.7674930692</v>
      </c>
      <c r="I203" s="792">
        <f t="shared" si="10"/>
        <v>0</v>
      </c>
      <c r="J203" s="792"/>
      <c r="K203" s="812"/>
      <c r="L203" s="796"/>
      <c r="M203" s="812"/>
      <c r="N203" s="797"/>
      <c r="O203" s="796"/>
    </row>
    <row r="204" spans="3:15">
      <c r="C204" s="788">
        <f>IF(D185="","-",+C203+1)</f>
        <v>2027</v>
      </c>
      <c r="D204" s="736">
        <f t="shared" si="6"/>
        <v>57481256.329122782</v>
      </c>
      <c r="E204" s="789">
        <f t="shared" si="11"/>
        <v>2239529.4673684211</v>
      </c>
      <c r="F204" s="736">
        <f t="shared" si="7"/>
        <v>55241726.861754358</v>
      </c>
      <c r="G204" s="794">
        <f t="shared" si="8"/>
        <v>8618690.1827749293</v>
      </c>
      <c r="H204" s="795">
        <f t="shared" si="9"/>
        <v>8618690.1827749293</v>
      </c>
      <c r="I204" s="792">
        <f t="shared" si="10"/>
        <v>0</v>
      </c>
      <c r="J204" s="792"/>
      <c r="K204" s="812"/>
      <c r="L204" s="796"/>
      <c r="M204" s="812"/>
      <c r="N204" s="796"/>
      <c r="O204" s="796"/>
    </row>
    <row r="205" spans="3:15">
      <c r="C205" s="788">
        <f>IF(D185="","-",+C204+1)</f>
        <v>2028</v>
      </c>
      <c r="D205" s="736">
        <f t="shared" si="6"/>
        <v>55241726.861754358</v>
      </c>
      <c r="E205" s="789">
        <f t="shared" si="11"/>
        <v>2239529.4673684211</v>
      </c>
      <c r="F205" s="736">
        <f t="shared" si="7"/>
        <v>53002197.394385934</v>
      </c>
      <c r="G205" s="794">
        <f t="shared" si="8"/>
        <v>8365213.5980567895</v>
      </c>
      <c r="H205" s="795">
        <f t="shared" si="9"/>
        <v>8365213.5980567895</v>
      </c>
      <c r="I205" s="792">
        <f t="shared" si="10"/>
        <v>0</v>
      </c>
      <c r="J205" s="792"/>
      <c r="K205" s="812"/>
      <c r="L205" s="796"/>
      <c r="M205" s="812"/>
      <c r="N205" s="796"/>
      <c r="O205" s="796"/>
    </row>
    <row r="206" spans="3:15">
      <c r="C206" s="788">
        <f>IF(D185="","-",+C205+1)</f>
        <v>2029</v>
      </c>
      <c r="D206" s="736">
        <f t="shared" si="6"/>
        <v>53002197.394385934</v>
      </c>
      <c r="E206" s="789">
        <f t="shared" si="11"/>
        <v>2239529.4673684211</v>
      </c>
      <c r="F206" s="736">
        <f t="shared" si="7"/>
        <v>50762667.92701751</v>
      </c>
      <c r="G206" s="794">
        <f t="shared" si="8"/>
        <v>8111737.0133386496</v>
      </c>
      <c r="H206" s="795">
        <f t="shared" si="9"/>
        <v>8111737.0133386496</v>
      </c>
      <c r="I206" s="792">
        <f t="shared" si="10"/>
        <v>0</v>
      </c>
      <c r="J206" s="792"/>
      <c r="K206" s="812"/>
      <c r="L206" s="796"/>
      <c r="M206" s="812"/>
      <c r="N206" s="796"/>
      <c r="O206" s="796"/>
    </row>
    <row r="207" spans="3:15">
      <c r="C207" s="788">
        <f>IF(D185="","-",+C206+1)</f>
        <v>2030</v>
      </c>
      <c r="D207" s="736">
        <f t="shared" si="6"/>
        <v>50762667.92701751</v>
      </c>
      <c r="E207" s="789">
        <f t="shared" si="11"/>
        <v>2239529.4673684211</v>
      </c>
      <c r="F207" s="736">
        <f t="shared" si="7"/>
        <v>48523138.459649086</v>
      </c>
      <c r="G207" s="794">
        <f t="shared" si="8"/>
        <v>7858260.4286205098</v>
      </c>
      <c r="H207" s="795">
        <f t="shared" si="9"/>
        <v>7858260.4286205098</v>
      </c>
      <c r="I207" s="792">
        <f t="shared" si="10"/>
        <v>0</v>
      </c>
      <c r="J207" s="792"/>
      <c r="K207" s="812"/>
      <c r="L207" s="796"/>
      <c r="M207" s="812"/>
      <c r="N207" s="796"/>
      <c r="O207" s="796"/>
    </row>
    <row r="208" spans="3:15">
      <c r="C208" s="788">
        <f>IF(D185="","-",+C207+1)</f>
        <v>2031</v>
      </c>
      <c r="D208" s="736">
        <f t="shared" si="6"/>
        <v>48523138.459649086</v>
      </c>
      <c r="E208" s="789">
        <f t="shared" si="11"/>
        <v>2239529.4673684211</v>
      </c>
      <c r="F208" s="736">
        <f t="shared" si="7"/>
        <v>46283608.992280662</v>
      </c>
      <c r="G208" s="794">
        <f t="shared" si="8"/>
        <v>7604783.84390237</v>
      </c>
      <c r="H208" s="795">
        <f t="shared" si="9"/>
        <v>7604783.84390237</v>
      </c>
      <c r="I208" s="792">
        <f t="shared" si="10"/>
        <v>0</v>
      </c>
      <c r="J208" s="792"/>
      <c r="K208" s="812"/>
      <c r="L208" s="796"/>
      <c r="M208" s="812"/>
      <c r="N208" s="796"/>
      <c r="O208" s="796"/>
    </row>
    <row r="209" spans="3:15">
      <c r="C209" s="788">
        <f>IF(D185="","-",+C208+1)</f>
        <v>2032</v>
      </c>
      <c r="D209" s="736">
        <f t="shared" si="6"/>
        <v>46283608.992280662</v>
      </c>
      <c r="E209" s="789">
        <f t="shared" si="11"/>
        <v>2239529.4673684211</v>
      </c>
      <c r="F209" s="736">
        <f t="shared" si="7"/>
        <v>44044079.524912238</v>
      </c>
      <c r="G209" s="794">
        <f t="shared" si="8"/>
        <v>7351307.2591842301</v>
      </c>
      <c r="H209" s="795">
        <f t="shared" si="9"/>
        <v>7351307.2591842301</v>
      </c>
      <c r="I209" s="792">
        <f t="shared" si="10"/>
        <v>0</v>
      </c>
      <c r="J209" s="792"/>
      <c r="K209" s="812"/>
      <c r="L209" s="796"/>
      <c r="M209" s="812"/>
      <c r="N209" s="796"/>
      <c r="O209" s="796"/>
    </row>
    <row r="210" spans="3:15">
      <c r="C210" s="788">
        <f>IF(D185="","-",+C209+1)</f>
        <v>2033</v>
      </c>
      <c r="D210" s="736">
        <f t="shared" si="6"/>
        <v>44044079.524912238</v>
      </c>
      <c r="E210" s="789">
        <f t="shared" si="11"/>
        <v>2239529.4673684211</v>
      </c>
      <c r="F210" s="736">
        <f t="shared" si="7"/>
        <v>41804550.057543814</v>
      </c>
      <c r="G210" s="794">
        <f t="shared" si="8"/>
        <v>7097830.6744660903</v>
      </c>
      <c r="H210" s="795">
        <f t="shared" si="9"/>
        <v>7097830.6744660903</v>
      </c>
      <c r="I210" s="792">
        <f t="shared" si="10"/>
        <v>0</v>
      </c>
      <c r="J210" s="792"/>
      <c r="K210" s="812"/>
      <c r="L210" s="796"/>
      <c r="M210" s="812"/>
      <c r="N210" s="796"/>
      <c r="O210" s="796"/>
    </row>
    <row r="211" spans="3:15">
      <c r="C211" s="788">
        <f>IF(D185="","-",+C210+1)</f>
        <v>2034</v>
      </c>
      <c r="D211" s="736">
        <f t="shared" si="6"/>
        <v>41804550.057543814</v>
      </c>
      <c r="E211" s="789">
        <f t="shared" si="11"/>
        <v>2239529.4673684211</v>
      </c>
      <c r="F211" s="736">
        <f t="shared" si="7"/>
        <v>39565020.59017539</v>
      </c>
      <c r="G211" s="794">
        <f t="shared" si="8"/>
        <v>6844354.0897479504</v>
      </c>
      <c r="H211" s="795">
        <f t="shared" si="9"/>
        <v>6844354.0897479504</v>
      </c>
      <c r="I211" s="792">
        <f t="shared" si="10"/>
        <v>0</v>
      </c>
      <c r="J211" s="792"/>
      <c r="K211" s="812"/>
      <c r="L211" s="796"/>
      <c r="M211" s="812"/>
      <c r="N211" s="796"/>
      <c r="O211" s="796"/>
    </row>
    <row r="212" spans="3:15">
      <c r="C212" s="788">
        <f>IF(D185="","-",+C211+1)</f>
        <v>2035</v>
      </c>
      <c r="D212" s="736">
        <f t="shared" si="6"/>
        <v>39565020.59017539</v>
      </c>
      <c r="E212" s="789">
        <f t="shared" si="11"/>
        <v>2239529.4673684211</v>
      </c>
      <c r="F212" s="736">
        <f t="shared" si="7"/>
        <v>37325491.122806966</v>
      </c>
      <c r="G212" s="794">
        <f t="shared" si="8"/>
        <v>6590877.5050298106</v>
      </c>
      <c r="H212" s="795">
        <f t="shared" si="9"/>
        <v>6590877.5050298106</v>
      </c>
      <c r="I212" s="792">
        <f t="shared" si="10"/>
        <v>0</v>
      </c>
      <c r="J212" s="792"/>
      <c r="K212" s="812"/>
      <c r="L212" s="796"/>
      <c r="M212" s="812"/>
      <c r="N212" s="796"/>
      <c r="O212" s="796"/>
    </row>
    <row r="213" spans="3:15">
      <c r="C213" s="788">
        <f>IF(D185="","-",+C212+1)</f>
        <v>2036</v>
      </c>
      <c r="D213" s="736">
        <f t="shared" si="6"/>
        <v>37325491.122806966</v>
      </c>
      <c r="E213" s="789">
        <f t="shared" si="11"/>
        <v>2239529.4673684211</v>
      </c>
      <c r="F213" s="736">
        <f t="shared" si="7"/>
        <v>35085961.655438542</v>
      </c>
      <c r="G213" s="794">
        <f t="shared" si="8"/>
        <v>6337400.9203116708</v>
      </c>
      <c r="H213" s="795">
        <f t="shared" si="9"/>
        <v>6337400.9203116708</v>
      </c>
      <c r="I213" s="792">
        <f t="shared" si="10"/>
        <v>0</v>
      </c>
      <c r="J213" s="792"/>
      <c r="K213" s="812"/>
      <c r="L213" s="796"/>
      <c r="M213" s="812"/>
      <c r="N213" s="796"/>
      <c r="O213" s="796"/>
    </row>
    <row r="214" spans="3:15">
      <c r="C214" s="788">
        <f>IF(D185="","-",+C213+1)</f>
        <v>2037</v>
      </c>
      <c r="D214" s="736">
        <f t="shared" si="6"/>
        <v>35085961.655438542</v>
      </c>
      <c r="E214" s="789">
        <f t="shared" si="11"/>
        <v>2239529.4673684211</v>
      </c>
      <c r="F214" s="736">
        <f t="shared" si="7"/>
        <v>32846432.188070122</v>
      </c>
      <c r="G214" s="794">
        <f t="shared" si="8"/>
        <v>6083924.3355935309</v>
      </c>
      <c r="H214" s="795">
        <f t="shared" si="9"/>
        <v>6083924.3355935309</v>
      </c>
      <c r="I214" s="792">
        <f t="shared" si="10"/>
        <v>0</v>
      </c>
      <c r="J214" s="792"/>
      <c r="K214" s="812"/>
      <c r="L214" s="796"/>
      <c r="M214" s="812"/>
      <c r="N214" s="796"/>
      <c r="O214" s="796"/>
    </row>
    <row r="215" spans="3:15">
      <c r="C215" s="788">
        <f>IF(D185="","-",+C214+1)</f>
        <v>2038</v>
      </c>
      <c r="D215" s="736">
        <f t="shared" si="6"/>
        <v>32846432.188070122</v>
      </c>
      <c r="E215" s="789">
        <f t="shared" si="11"/>
        <v>2239529.4673684211</v>
      </c>
      <c r="F215" s="736">
        <f t="shared" si="7"/>
        <v>30606902.720701702</v>
      </c>
      <c r="G215" s="794">
        <f t="shared" si="8"/>
        <v>5830447.750875392</v>
      </c>
      <c r="H215" s="795">
        <f t="shared" si="9"/>
        <v>5830447.750875392</v>
      </c>
      <c r="I215" s="792">
        <f t="shared" si="10"/>
        <v>0</v>
      </c>
      <c r="J215" s="792"/>
      <c r="K215" s="812"/>
      <c r="L215" s="796"/>
      <c r="M215" s="812"/>
      <c r="N215" s="796"/>
      <c r="O215" s="796"/>
    </row>
    <row r="216" spans="3:15">
      <c r="C216" s="788">
        <f>IF(D185="","-",+C215+1)</f>
        <v>2039</v>
      </c>
      <c r="D216" s="736">
        <f t="shared" si="6"/>
        <v>30606902.720701702</v>
      </c>
      <c r="E216" s="789">
        <f t="shared" si="11"/>
        <v>2239529.4673684211</v>
      </c>
      <c r="F216" s="736">
        <f t="shared" si="7"/>
        <v>28367373.253333282</v>
      </c>
      <c r="G216" s="794">
        <f t="shared" si="8"/>
        <v>5576971.1661572522</v>
      </c>
      <c r="H216" s="795">
        <f t="shared" si="9"/>
        <v>5576971.1661572522</v>
      </c>
      <c r="I216" s="792">
        <f t="shared" si="10"/>
        <v>0</v>
      </c>
      <c r="J216" s="792"/>
      <c r="K216" s="812"/>
      <c r="L216" s="796"/>
      <c r="M216" s="812"/>
      <c r="N216" s="796"/>
      <c r="O216" s="796"/>
    </row>
    <row r="217" spans="3:15">
      <c r="C217" s="788">
        <f>IF(D185="","-",+C216+1)</f>
        <v>2040</v>
      </c>
      <c r="D217" s="736">
        <f t="shared" si="6"/>
        <v>28367373.253333282</v>
      </c>
      <c r="E217" s="789">
        <f t="shared" si="11"/>
        <v>2239529.4673684211</v>
      </c>
      <c r="F217" s="736">
        <f t="shared" si="7"/>
        <v>26127843.785964862</v>
      </c>
      <c r="G217" s="794">
        <f t="shared" si="8"/>
        <v>5323494.5814391132</v>
      </c>
      <c r="H217" s="795">
        <f t="shared" si="9"/>
        <v>5323494.5814391132</v>
      </c>
      <c r="I217" s="792">
        <f t="shared" si="10"/>
        <v>0</v>
      </c>
      <c r="J217" s="792"/>
      <c r="K217" s="812"/>
      <c r="L217" s="796"/>
      <c r="M217" s="812"/>
      <c r="N217" s="796"/>
      <c r="O217" s="796"/>
    </row>
    <row r="218" spans="3:15">
      <c r="C218" s="788">
        <f>IF(D185="","-",+C217+1)</f>
        <v>2041</v>
      </c>
      <c r="D218" s="736">
        <f t="shared" si="6"/>
        <v>26127843.785964862</v>
      </c>
      <c r="E218" s="789">
        <f t="shared" si="11"/>
        <v>2239529.4673684211</v>
      </c>
      <c r="F218" s="736">
        <f t="shared" si="7"/>
        <v>23888314.318596441</v>
      </c>
      <c r="G218" s="794">
        <f t="shared" si="8"/>
        <v>5070017.9967209734</v>
      </c>
      <c r="H218" s="795">
        <f t="shared" si="9"/>
        <v>5070017.9967209734</v>
      </c>
      <c r="I218" s="792">
        <f t="shared" si="10"/>
        <v>0</v>
      </c>
      <c r="J218" s="792"/>
      <c r="K218" s="812"/>
      <c r="L218" s="796"/>
      <c r="M218" s="812"/>
      <c r="N218" s="796"/>
      <c r="O218" s="796"/>
    </row>
    <row r="219" spans="3:15">
      <c r="C219" s="788">
        <f>IF(D185="","-",+C218+1)</f>
        <v>2042</v>
      </c>
      <c r="D219" s="736">
        <f t="shared" si="6"/>
        <v>23888314.318596441</v>
      </c>
      <c r="E219" s="789">
        <f t="shared" si="11"/>
        <v>2239529.4673684211</v>
      </c>
      <c r="F219" s="736">
        <f t="shared" si="7"/>
        <v>21648784.851228021</v>
      </c>
      <c r="G219" s="790">
        <f t="shared" si="8"/>
        <v>4816541.4120028336</v>
      </c>
      <c r="H219" s="795">
        <f t="shared" si="9"/>
        <v>4816541.4120028336</v>
      </c>
      <c r="I219" s="792">
        <f t="shared" si="10"/>
        <v>0</v>
      </c>
      <c r="J219" s="792"/>
      <c r="K219" s="812"/>
      <c r="L219" s="796"/>
      <c r="M219" s="812"/>
      <c r="N219" s="796"/>
      <c r="O219" s="796"/>
    </row>
    <row r="220" spans="3:15">
      <c r="C220" s="788">
        <f>IF(D185="","-",+C219+1)</f>
        <v>2043</v>
      </c>
      <c r="D220" s="736">
        <f t="shared" si="6"/>
        <v>21648784.851228021</v>
      </c>
      <c r="E220" s="789">
        <f t="shared" si="11"/>
        <v>2239529.4673684211</v>
      </c>
      <c r="F220" s="736">
        <f t="shared" si="7"/>
        <v>19409255.383859601</v>
      </c>
      <c r="G220" s="794">
        <f t="shared" si="8"/>
        <v>4563064.8272846937</v>
      </c>
      <c r="H220" s="795">
        <f t="shared" si="9"/>
        <v>4563064.8272846937</v>
      </c>
      <c r="I220" s="792">
        <f t="shared" si="10"/>
        <v>0</v>
      </c>
      <c r="J220" s="792"/>
      <c r="K220" s="812"/>
      <c r="L220" s="796"/>
      <c r="M220" s="812"/>
      <c r="N220" s="796"/>
      <c r="O220" s="796"/>
    </row>
    <row r="221" spans="3:15">
      <c r="C221" s="788">
        <f>IF(D185="","-",+C220+1)</f>
        <v>2044</v>
      </c>
      <c r="D221" s="736">
        <f t="shared" si="6"/>
        <v>19409255.383859601</v>
      </c>
      <c r="E221" s="789">
        <f t="shared" si="11"/>
        <v>2239529.4673684211</v>
      </c>
      <c r="F221" s="736">
        <f t="shared" si="7"/>
        <v>17169725.916491181</v>
      </c>
      <c r="G221" s="794">
        <f t="shared" si="8"/>
        <v>4309588.2425665557</v>
      </c>
      <c r="H221" s="795">
        <f t="shared" si="9"/>
        <v>4309588.2425665557</v>
      </c>
      <c r="I221" s="792">
        <f t="shared" si="10"/>
        <v>0</v>
      </c>
      <c r="J221" s="792"/>
      <c r="K221" s="812"/>
      <c r="L221" s="796"/>
      <c r="M221" s="812"/>
      <c r="N221" s="796"/>
      <c r="O221" s="796"/>
    </row>
    <row r="222" spans="3:15">
      <c r="C222" s="788">
        <f>IF(D185="","-",+C221+1)</f>
        <v>2045</v>
      </c>
      <c r="D222" s="736">
        <f t="shared" si="6"/>
        <v>17169725.916491181</v>
      </c>
      <c r="E222" s="789">
        <f t="shared" si="11"/>
        <v>2239529.4673684211</v>
      </c>
      <c r="F222" s="736">
        <f t="shared" si="7"/>
        <v>14930196.44912276</v>
      </c>
      <c r="G222" s="794">
        <f t="shared" si="8"/>
        <v>4056111.6578484159</v>
      </c>
      <c r="H222" s="795">
        <f t="shared" si="9"/>
        <v>4056111.6578484159</v>
      </c>
      <c r="I222" s="792">
        <f t="shared" si="10"/>
        <v>0</v>
      </c>
      <c r="J222" s="792"/>
      <c r="K222" s="812"/>
      <c r="L222" s="796"/>
      <c r="M222" s="812"/>
      <c r="N222" s="796"/>
      <c r="O222" s="796"/>
    </row>
    <row r="223" spans="3:15">
      <c r="C223" s="788">
        <f>IF(D185="","-",+C222+1)</f>
        <v>2046</v>
      </c>
      <c r="D223" s="736">
        <f t="shared" si="6"/>
        <v>14930196.44912276</v>
      </c>
      <c r="E223" s="789">
        <f t="shared" si="11"/>
        <v>2239529.4673684211</v>
      </c>
      <c r="F223" s="736">
        <f t="shared" si="7"/>
        <v>12690666.98175434</v>
      </c>
      <c r="G223" s="794">
        <f t="shared" si="8"/>
        <v>3802635.0731302761</v>
      </c>
      <c r="H223" s="795">
        <f t="shared" si="9"/>
        <v>3802635.0731302761</v>
      </c>
      <c r="I223" s="792">
        <f t="shared" si="10"/>
        <v>0</v>
      </c>
      <c r="J223" s="792"/>
      <c r="K223" s="812"/>
      <c r="L223" s="796"/>
      <c r="M223" s="812"/>
      <c r="N223" s="796"/>
      <c r="O223" s="796"/>
    </row>
    <row r="224" spans="3:15">
      <c r="C224" s="788">
        <f>IF(D185="","-",+C223+1)</f>
        <v>2047</v>
      </c>
      <c r="D224" s="736">
        <f t="shared" si="6"/>
        <v>12690666.98175434</v>
      </c>
      <c r="E224" s="789">
        <f t="shared" si="11"/>
        <v>2239529.4673684211</v>
      </c>
      <c r="F224" s="736">
        <f t="shared" si="7"/>
        <v>10451137.51438592</v>
      </c>
      <c r="G224" s="794">
        <f t="shared" si="8"/>
        <v>3549158.4884121371</v>
      </c>
      <c r="H224" s="795">
        <f t="shared" si="9"/>
        <v>3549158.4884121371</v>
      </c>
      <c r="I224" s="792">
        <f t="shared" si="10"/>
        <v>0</v>
      </c>
      <c r="J224" s="792"/>
      <c r="K224" s="812"/>
      <c r="L224" s="796"/>
      <c r="M224" s="812"/>
      <c r="N224" s="796"/>
      <c r="O224" s="796"/>
    </row>
    <row r="225" spans="3:15">
      <c r="C225" s="788">
        <f>IF(D185="","-",+C224+1)</f>
        <v>2048</v>
      </c>
      <c r="D225" s="736">
        <f t="shared" si="6"/>
        <v>10451137.51438592</v>
      </c>
      <c r="E225" s="789">
        <f t="shared" si="11"/>
        <v>2239529.4673684211</v>
      </c>
      <c r="F225" s="736">
        <f t="shared" si="7"/>
        <v>8211608.0470174989</v>
      </c>
      <c r="G225" s="794">
        <f t="shared" si="8"/>
        <v>3295681.9036939973</v>
      </c>
      <c r="H225" s="795">
        <f t="shared" si="9"/>
        <v>3295681.9036939973</v>
      </c>
      <c r="I225" s="792">
        <f t="shared" si="10"/>
        <v>0</v>
      </c>
      <c r="J225" s="792"/>
      <c r="K225" s="812"/>
      <c r="L225" s="796"/>
      <c r="M225" s="812"/>
      <c r="N225" s="796"/>
      <c r="O225" s="796"/>
    </row>
    <row r="226" spans="3:15">
      <c r="C226" s="788">
        <f>IF(D185="","-",+C225+1)</f>
        <v>2049</v>
      </c>
      <c r="D226" s="736">
        <f t="shared" si="6"/>
        <v>8211608.0470174989</v>
      </c>
      <c r="E226" s="789">
        <f t="shared" si="11"/>
        <v>2239529.4673684211</v>
      </c>
      <c r="F226" s="736">
        <f t="shared" si="7"/>
        <v>5972078.5796490777</v>
      </c>
      <c r="G226" s="794">
        <f t="shared" si="8"/>
        <v>3042205.3189758579</v>
      </c>
      <c r="H226" s="795">
        <f t="shared" si="9"/>
        <v>3042205.3189758579</v>
      </c>
      <c r="I226" s="792">
        <f t="shared" si="10"/>
        <v>0</v>
      </c>
      <c r="J226" s="792"/>
      <c r="K226" s="812"/>
      <c r="L226" s="796"/>
      <c r="M226" s="812"/>
      <c r="N226" s="796"/>
      <c r="O226" s="796"/>
    </row>
    <row r="227" spans="3:15">
      <c r="C227" s="788">
        <f>IF(D185="","-",+C226+1)</f>
        <v>2050</v>
      </c>
      <c r="D227" s="736">
        <f t="shared" si="6"/>
        <v>5972078.5796490777</v>
      </c>
      <c r="E227" s="789">
        <f t="shared" si="11"/>
        <v>2239529.4673684211</v>
      </c>
      <c r="F227" s="736">
        <f t="shared" si="7"/>
        <v>3732549.1122806566</v>
      </c>
      <c r="G227" s="794">
        <f t="shared" si="8"/>
        <v>2788728.7342577185</v>
      </c>
      <c r="H227" s="795">
        <f t="shared" si="9"/>
        <v>2788728.7342577185</v>
      </c>
      <c r="I227" s="792">
        <f t="shared" si="10"/>
        <v>0</v>
      </c>
      <c r="J227" s="792"/>
      <c r="K227" s="812"/>
      <c r="L227" s="796"/>
      <c r="M227" s="812"/>
      <c r="N227" s="796"/>
      <c r="O227" s="796"/>
    </row>
    <row r="228" spans="3:15">
      <c r="C228" s="788">
        <f>IF(D185="","-",+C227+1)</f>
        <v>2051</v>
      </c>
      <c r="D228" s="736">
        <f t="shared" si="6"/>
        <v>3732549.1122806566</v>
      </c>
      <c r="E228" s="789">
        <f t="shared" si="11"/>
        <v>2239529.4673684211</v>
      </c>
      <c r="F228" s="736">
        <f t="shared" si="7"/>
        <v>1493019.6449122354</v>
      </c>
      <c r="G228" s="794">
        <f t="shared" si="8"/>
        <v>2535252.1495395787</v>
      </c>
      <c r="H228" s="795">
        <f t="shared" si="9"/>
        <v>2535252.1495395787</v>
      </c>
      <c r="I228" s="792">
        <f t="shared" si="10"/>
        <v>0</v>
      </c>
      <c r="J228" s="792"/>
      <c r="K228" s="812"/>
      <c r="L228" s="796"/>
      <c r="M228" s="812"/>
      <c r="N228" s="796"/>
      <c r="O228" s="796"/>
    </row>
    <row r="229" spans="3:15">
      <c r="C229" s="788">
        <f>IF(D185="","-",+C228+1)</f>
        <v>2052</v>
      </c>
      <c r="D229" s="736">
        <f t="shared" si="6"/>
        <v>1493019.6449122354</v>
      </c>
      <c r="E229" s="789">
        <f t="shared" si="11"/>
        <v>1493019.6449122354</v>
      </c>
      <c r="F229" s="736">
        <f t="shared" si="7"/>
        <v>0</v>
      </c>
      <c r="G229" s="794">
        <f t="shared" si="8"/>
        <v>1577511.8398182795</v>
      </c>
      <c r="H229" s="795">
        <f t="shared" si="9"/>
        <v>1577511.8398182795</v>
      </c>
      <c r="I229" s="792">
        <f t="shared" si="10"/>
        <v>0</v>
      </c>
      <c r="J229" s="792"/>
      <c r="K229" s="812"/>
      <c r="L229" s="796"/>
      <c r="M229" s="812"/>
      <c r="N229" s="796"/>
      <c r="O229" s="796"/>
    </row>
    <row r="230" spans="3:15">
      <c r="C230" s="788">
        <f>IF(D185="","-",+C229+1)</f>
        <v>2053</v>
      </c>
      <c r="D230" s="736">
        <f t="shared" si="6"/>
        <v>0</v>
      </c>
      <c r="E230" s="789">
        <f t="shared" si="11"/>
        <v>0</v>
      </c>
      <c r="F230" s="736">
        <f t="shared" si="7"/>
        <v>0</v>
      </c>
      <c r="G230" s="794">
        <f t="shared" si="8"/>
        <v>0</v>
      </c>
      <c r="H230" s="795">
        <f t="shared" si="9"/>
        <v>0</v>
      </c>
      <c r="I230" s="792">
        <f t="shared" si="10"/>
        <v>0</v>
      </c>
      <c r="J230" s="792"/>
      <c r="K230" s="812"/>
      <c r="L230" s="796"/>
      <c r="M230" s="812"/>
      <c r="N230" s="796"/>
      <c r="O230" s="796"/>
    </row>
    <row r="231" spans="3:15">
      <c r="C231" s="788">
        <f>IF(D185="","-",+C230+1)</f>
        <v>2054</v>
      </c>
      <c r="D231" s="736">
        <f t="shared" si="6"/>
        <v>0</v>
      </c>
      <c r="E231" s="789">
        <f t="shared" si="11"/>
        <v>0</v>
      </c>
      <c r="F231" s="736">
        <f t="shared" si="7"/>
        <v>0</v>
      </c>
      <c r="G231" s="794">
        <f t="shared" si="8"/>
        <v>0</v>
      </c>
      <c r="H231" s="795">
        <f t="shared" si="9"/>
        <v>0</v>
      </c>
      <c r="I231" s="792">
        <f t="shared" si="10"/>
        <v>0</v>
      </c>
      <c r="J231" s="792"/>
      <c r="K231" s="812"/>
      <c r="L231" s="796"/>
      <c r="M231" s="812"/>
      <c r="N231" s="796"/>
      <c r="O231" s="796"/>
    </row>
    <row r="232" spans="3:15">
      <c r="C232" s="788">
        <f>IF(D185="","-",+C231+1)</f>
        <v>2055</v>
      </c>
      <c r="D232" s="736">
        <f t="shared" si="6"/>
        <v>0</v>
      </c>
      <c r="E232" s="789">
        <f t="shared" si="11"/>
        <v>0</v>
      </c>
      <c r="F232" s="736">
        <f t="shared" si="7"/>
        <v>0</v>
      </c>
      <c r="G232" s="794">
        <f t="shared" si="8"/>
        <v>0</v>
      </c>
      <c r="H232" s="795">
        <f t="shared" si="9"/>
        <v>0</v>
      </c>
      <c r="I232" s="792">
        <f t="shared" si="10"/>
        <v>0</v>
      </c>
      <c r="J232" s="792"/>
      <c r="K232" s="812"/>
      <c r="L232" s="796"/>
      <c r="M232" s="812"/>
      <c r="N232" s="796"/>
      <c r="O232" s="796"/>
    </row>
    <row r="233" spans="3:15">
      <c r="C233" s="788">
        <f>IF(D185="","-",+C232+1)</f>
        <v>2056</v>
      </c>
      <c r="D233" s="736">
        <f t="shared" si="6"/>
        <v>0</v>
      </c>
      <c r="E233" s="789">
        <f t="shared" si="11"/>
        <v>0</v>
      </c>
      <c r="F233" s="736">
        <f t="shared" si="7"/>
        <v>0</v>
      </c>
      <c r="G233" s="794">
        <f t="shared" si="8"/>
        <v>0</v>
      </c>
      <c r="H233" s="795">
        <f t="shared" si="9"/>
        <v>0</v>
      </c>
      <c r="I233" s="792">
        <f t="shared" si="10"/>
        <v>0</v>
      </c>
      <c r="J233" s="792"/>
      <c r="K233" s="812"/>
      <c r="L233" s="796"/>
      <c r="M233" s="812"/>
      <c r="N233" s="796"/>
      <c r="O233" s="796"/>
    </row>
    <row r="234" spans="3:15">
      <c r="C234" s="788">
        <f>IF(D185="","-",+C233+1)</f>
        <v>2057</v>
      </c>
      <c r="D234" s="736">
        <f t="shared" si="6"/>
        <v>0</v>
      </c>
      <c r="E234" s="789">
        <f t="shared" si="11"/>
        <v>0</v>
      </c>
      <c r="F234" s="736">
        <f t="shared" si="7"/>
        <v>0</v>
      </c>
      <c r="G234" s="794">
        <f t="shared" si="8"/>
        <v>0</v>
      </c>
      <c r="H234" s="795">
        <f t="shared" si="9"/>
        <v>0</v>
      </c>
      <c r="I234" s="792">
        <f t="shared" si="10"/>
        <v>0</v>
      </c>
      <c r="J234" s="792"/>
      <c r="K234" s="812"/>
      <c r="L234" s="796"/>
      <c r="M234" s="812"/>
      <c r="N234" s="796"/>
      <c r="O234" s="796"/>
    </row>
    <row r="235" spans="3:15">
      <c r="C235" s="788">
        <f>IF(D185="","-",+C234+1)</f>
        <v>2058</v>
      </c>
      <c r="D235" s="736">
        <f t="shared" si="6"/>
        <v>0</v>
      </c>
      <c r="E235" s="789">
        <f t="shared" si="11"/>
        <v>0</v>
      </c>
      <c r="F235" s="736">
        <f t="shared" si="7"/>
        <v>0</v>
      </c>
      <c r="G235" s="794">
        <f t="shared" si="8"/>
        <v>0</v>
      </c>
      <c r="H235" s="795">
        <f t="shared" si="9"/>
        <v>0</v>
      </c>
      <c r="I235" s="792">
        <f t="shared" si="10"/>
        <v>0</v>
      </c>
      <c r="J235" s="792"/>
      <c r="K235" s="812"/>
      <c r="L235" s="796"/>
      <c r="M235" s="812"/>
      <c r="N235" s="796"/>
      <c r="O235" s="796"/>
    </row>
    <row r="236" spans="3:15">
      <c r="C236" s="788">
        <f>IF(D185="","-",+C235+1)</f>
        <v>2059</v>
      </c>
      <c r="D236" s="736">
        <f t="shared" si="6"/>
        <v>0</v>
      </c>
      <c r="E236" s="789">
        <f t="shared" si="11"/>
        <v>0</v>
      </c>
      <c r="F236" s="736">
        <f t="shared" si="7"/>
        <v>0</v>
      </c>
      <c r="G236" s="794">
        <f t="shared" si="8"/>
        <v>0</v>
      </c>
      <c r="H236" s="795">
        <f t="shared" si="9"/>
        <v>0</v>
      </c>
      <c r="I236" s="792">
        <f t="shared" si="10"/>
        <v>0</v>
      </c>
      <c r="J236" s="792"/>
      <c r="K236" s="812"/>
      <c r="L236" s="796"/>
      <c r="M236" s="812"/>
      <c r="N236" s="796"/>
      <c r="O236" s="796"/>
    </row>
    <row r="237" spans="3:15">
      <c r="C237" s="788">
        <f>IF(D185="","-",+C236+1)</f>
        <v>2060</v>
      </c>
      <c r="D237" s="736">
        <f t="shared" si="6"/>
        <v>0</v>
      </c>
      <c r="E237" s="789">
        <f t="shared" si="11"/>
        <v>0</v>
      </c>
      <c r="F237" s="736">
        <f t="shared" si="7"/>
        <v>0</v>
      </c>
      <c r="G237" s="794">
        <f t="shared" si="8"/>
        <v>0</v>
      </c>
      <c r="H237" s="795">
        <f t="shared" si="9"/>
        <v>0</v>
      </c>
      <c r="I237" s="792">
        <f t="shared" si="10"/>
        <v>0</v>
      </c>
      <c r="J237" s="792"/>
      <c r="K237" s="812"/>
      <c r="L237" s="796"/>
      <c r="M237" s="812"/>
      <c r="N237" s="796"/>
      <c r="O237" s="796"/>
    </row>
    <row r="238" spans="3:15">
      <c r="C238" s="788">
        <f>IF(D185="","-",+C237+1)</f>
        <v>2061</v>
      </c>
      <c r="D238" s="736">
        <f t="shared" si="6"/>
        <v>0</v>
      </c>
      <c r="E238" s="789">
        <f t="shared" si="11"/>
        <v>0</v>
      </c>
      <c r="F238" s="736">
        <f t="shared" si="7"/>
        <v>0</v>
      </c>
      <c r="G238" s="794">
        <f t="shared" si="8"/>
        <v>0</v>
      </c>
      <c r="H238" s="795">
        <f t="shared" si="9"/>
        <v>0</v>
      </c>
      <c r="I238" s="792">
        <f t="shared" si="10"/>
        <v>0</v>
      </c>
      <c r="J238" s="792"/>
      <c r="K238" s="812"/>
      <c r="L238" s="796"/>
      <c r="M238" s="812"/>
      <c r="N238" s="796"/>
      <c r="O238" s="796"/>
    </row>
    <row r="239" spans="3:15">
      <c r="C239" s="788">
        <f>IF(D185="","-",+C238+1)</f>
        <v>2062</v>
      </c>
      <c r="D239" s="736">
        <f t="shared" si="6"/>
        <v>0</v>
      </c>
      <c r="E239" s="789">
        <f t="shared" si="11"/>
        <v>0</v>
      </c>
      <c r="F239" s="736">
        <f t="shared" si="7"/>
        <v>0</v>
      </c>
      <c r="G239" s="794">
        <f t="shared" si="8"/>
        <v>0</v>
      </c>
      <c r="H239" s="795">
        <f t="shared" si="9"/>
        <v>0</v>
      </c>
      <c r="I239" s="792">
        <f t="shared" si="10"/>
        <v>0</v>
      </c>
      <c r="J239" s="792"/>
      <c r="K239" s="812"/>
      <c r="L239" s="796"/>
      <c r="M239" s="812"/>
      <c r="N239" s="796"/>
      <c r="O239" s="796"/>
    </row>
    <row r="240" spans="3:15">
      <c r="C240" s="788">
        <f>IF(D185="","-",+C239+1)</f>
        <v>2063</v>
      </c>
      <c r="D240" s="736">
        <f t="shared" si="6"/>
        <v>0</v>
      </c>
      <c r="E240" s="789">
        <f t="shared" si="11"/>
        <v>0</v>
      </c>
      <c r="F240" s="736">
        <f t="shared" si="7"/>
        <v>0</v>
      </c>
      <c r="G240" s="794">
        <f t="shared" si="8"/>
        <v>0</v>
      </c>
      <c r="H240" s="795">
        <f t="shared" si="9"/>
        <v>0</v>
      </c>
      <c r="I240" s="792">
        <f t="shared" si="10"/>
        <v>0</v>
      </c>
      <c r="J240" s="792"/>
      <c r="K240" s="812"/>
      <c r="L240" s="796"/>
      <c r="M240" s="812"/>
      <c r="N240" s="796"/>
      <c r="O240" s="796"/>
    </row>
    <row r="241" spans="3:15">
      <c r="C241" s="788">
        <f>IF(D185="","-",+C240+1)</f>
        <v>2064</v>
      </c>
      <c r="D241" s="736">
        <f t="shared" si="6"/>
        <v>0</v>
      </c>
      <c r="E241" s="789">
        <f t="shared" si="11"/>
        <v>0</v>
      </c>
      <c r="F241" s="736">
        <f t="shared" si="7"/>
        <v>0</v>
      </c>
      <c r="G241" s="794">
        <f t="shared" si="8"/>
        <v>0</v>
      </c>
      <c r="H241" s="795">
        <f t="shared" si="9"/>
        <v>0</v>
      </c>
      <c r="I241" s="792">
        <f t="shared" si="10"/>
        <v>0</v>
      </c>
      <c r="J241" s="792"/>
      <c r="K241" s="812"/>
      <c r="L241" s="796"/>
      <c r="M241" s="812"/>
      <c r="N241" s="796"/>
      <c r="O241" s="796"/>
    </row>
    <row r="242" spans="3:15">
      <c r="C242" s="788">
        <f>IF(D185="","-",+C241+1)</f>
        <v>2065</v>
      </c>
      <c r="D242" s="736">
        <f t="shared" si="6"/>
        <v>0</v>
      </c>
      <c r="E242" s="789">
        <f t="shared" si="11"/>
        <v>0</v>
      </c>
      <c r="F242" s="736">
        <f t="shared" si="7"/>
        <v>0</v>
      </c>
      <c r="G242" s="794">
        <f t="shared" si="8"/>
        <v>0</v>
      </c>
      <c r="H242" s="795">
        <f t="shared" si="9"/>
        <v>0</v>
      </c>
      <c r="I242" s="792">
        <f t="shared" si="10"/>
        <v>0</v>
      </c>
      <c r="J242" s="792"/>
      <c r="K242" s="812"/>
      <c r="L242" s="796"/>
      <c r="M242" s="812"/>
      <c r="N242" s="796"/>
      <c r="O242" s="796"/>
    </row>
    <row r="243" spans="3:15">
      <c r="C243" s="788">
        <f>IF(D185="","-",+C242+1)</f>
        <v>2066</v>
      </c>
      <c r="D243" s="736">
        <f t="shared" si="6"/>
        <v>0</v>
      </c>
      <c r="E243" s="789">
        <f t="shared" si="11"/>
        <v>0</v>
      </c>
      <c r="F243" s="736">
        <f t="shared" si="7"/>
        <v>0</v>
      </c>
      <c r="G243" s="794">
        <f t="shared" si="8"/>
        <v>0</v>
      </c>
      <c r="H243" s="795">
        <f t="shared" si="9"/>
        <v>0</v>
      </c>
      <c r="I243" s="792">
        <f t="shared" si="10"/>
        <v>0</v>
      </c>
      <c r="J243" s="792"/>
      <c r="K243" s="812"/>
      <c r="L243" s="796"/>
      <c r="M243" s="812"/>
      <c r="N243" s="796"/>
      <c r="O243" s="796"/>
    </row>
    <row r="244" spans="3:15">
      <c r="C244" s="788">
        <f>IF(D185="","-",+C243+1)</f>
        <v>2067</v>
      </c>
      <c r="D244" s="736">
        <f t="shared" si="6"/>
        <v>0</v>
      </c>
      <c r="E244" s="789">
        <f t="shared" si="11"/>
        <v>0</v>
      </c>
      <c r="F244" s="736">
        <f t="shared" si="7"/>
        <v>0</v>
      </c>
      <c r="G244" s="794">
        <f t="shared" si="8"/>
        <v>0</v>
      </c>
      <c r="H244" s="795">
        <f t="shared" si="9"/>
        <v>0</v>
      </c>
      <c r="I244" s="792">
        <f t="shared" si="10"/>
        <v>0</v>
      </c>
      <c r="J244" s="792"/>
      <c r="K244" s="812"/>
      <c r="L244" s="796"/>
      <c r="M244" s="812"/>
      <c r="N244" s="796"/>
      <c r="O244" s="796"/>
    </row>
    <row r="245" spans="3:15">
      <c r="C245" s="788">
        <f>IF(D185="","-",+C244+1)</f>
        <v>2068</v>
      </c>
      <c r="D245" s="736">
        <f t="shared" si="6"/>
        <v>0</v>
      </c>
      <c r="E245" s="789">
        <f t="shared" si="11"/>
        <v>0</v>
      </c>
      <c r="F245" s="736">
        <f t="shared" si="7"/>
        <v>0</v>
      </c>
      <c r="G245" s="794">
        <f t="shared" si="8"/>
        <v>0</v>
      </c>
      <c r="H245" s="795">
        <f t="shared" si="9"/>
        <v>0</v>
      </c>
      <c r="I245" s="792">
        <f t="shared" si="10"/>
        <v>0</v>
      </c>
      <c r="J245" s="792"/>
      <c r="K245" s="812"/>
      <c r="L245" s="796"/>
      <c r="M245" s="812"/>
      <c r="N245" s="796"/>
      <c r="O245" s="796"/>
    </row>
    <row r="246" spans="3:15">
      <c r="C246" s="788">
        <f>IF(D185="","-",+C245+1)</f>
        <v>2069</v>
      </c>
      <c r="D246" s="736">
        <f t="shared" si="6"/>
        <v>0</v>
      </c>
      <c r="E246" s="789">
        <f t="shared" si="11"/>
        <v>0</v>
      </c>
      <c r="F246" s="736">
        <f t="shared" si="7"/>
        <v>0</v>
      </c>
      <c r="G246" s="794">
        <f t="shared" si="8"/>
        <v>0</v>
      </c>
      <c r="H246" s="795">
        <f t="shared" si="9"/>
        <v>0</v>
      </c>
      <c r="I246" s="792">
        <f t="shared" si="10"/>
        <v>0</v>
      </c>
      <c r="J246" s="792"/>
      <c r="K246" s="812"/>
      <c r="L246" s="796"/>
      <c r="M246" s="812"/>
      <c r="N246" s="796"/>
      <c r="O246" s="796"/>
    </row>
    <row r="247" spans="3:15">
      <c r="C247" s="788">
        <f>IF(D185="","-",+C246+1)</f>
        <v>2070</v>
      </c>
      <c r="D247" s="736">
        <f t="shared" si="6"/>
        <v>0</v>
      </c>
      <c r="E247" s="789">
        <f t="shared" si="11"/>
        <v>0</v>
      </c>
      <c r="F247" s="736">
        <f t="shared" si="7"/>
        <v>0</v>
      </c>
      <c r="G247" s="794">
        <f t="shared" si="8"/>
        <v>0</v>
      </c>
      <c r="H247" s="795">
        <f t="shared" si="9"/>
        <v>0</v>
      </c>
      <c r="I247" s="792">
        <f t="shared" si="10"/>
        <v>0</v>
      </c>
      <c r="J247" s="792"/>
      <c r="K247" s="812"/>
      <c r="L247" s="796"/>
      <c r="M247" s="812"/>
      <c r="N247" s="796"/>
      <c r="O247" s="796"/>
    </row>
    <row r="248" spans="3:15">
      <c r="C248" s="788">
        <f>IF(D185="","-",+C247+1)</f>
        <v>2071</v>
      </c>
      <c r="D248" s="736">
        <f t="shared" si="6"/>
        <v>0</v>
      </c>
      <c r="E248" s="789">
        <f t="shared" si="11"/>
        <v>0</v>
      </c>
      <c r="F248" s="736">
        <f t="shared" si="7"/>
        <v>0</v>
      </c>
      <c r="G248" s="794">
        <f t="shared" si="8"/>
        <v>0</v>
      </c>
      <c r="H248" s="795">
        <f t="shared" si="9"/>
        <v>0</v>
      </c>
      <c r="I248" s="792">
        <f t="shared" si="10"/>
        <v>0</v>
      </c>
      <c r="J248" s="792"/>
      <c r="K248" s="812"/>
      <c r="L248" s="796"/>
      <c r="M248" s="812"/>
      <c r="N248" s="796"/>
      <c r="O248" s="796"/>
    </row>
    <row r="249" spans="3:15">
      <c r="C249" s="788">
        <f>IF(D185="","-",+C248+1)</f>
        <v>2072</v>
      </c>
      <c r="D249" s="736">
        <f t="shared" si="6"/>
        <v>0</v>
      </c>
      <c r="E249" s="789">
        <f t="shared" si="11"/>
        <v>0</v>
      </c>
      <c r="F249" s="736">
        <f t="shared" si="7"/>
        <v>0</v>
      </c>
      <c r="G249" s="794">
        <f t="shared" si="8"/>
        <v>0</v>
      </c>
      <c r="H249" s="795">
        <f t="shared" si="9"/>
        <v>0</v>
      </c>
      <c r="I249" s="792">
        <f t="shared" si="10"/>
        <v>0</v>
      </c>
      <c r="J249" s="792"/>
      <c r="K249" s="812"/>
      <c r="L249" s="796"/>
      <c r="M249" s="812"/>
      <c r="N249" s="796"/>
      <c r="O249" s="796"/>
    </row>
    <row r="250" spans="3:15" ht="13.5" thickBot="1">
      <c r="C250" s="798">
        <f>IF(D185="","-",+C249+1)</f>
        <v>2073</v>
      </c>
      <c r="D250" s="799">
        <f t="shared" si="6"/>
        <v>0</v>
      </c>
      <c r="E250" s="800">
        <f t="shared" si="11"/>
        <v>0</v>
      </c>
      <c r="F250" s="799">
        <f t="shared" si="7"/>
        <v>0</v>
      </c>
      <c r="G250" s="801">
        <f t="shared" si="8"/>
        <v>0</v>
      </c>
      <c r="H250" s="801">
        <f t="shared" si="9"/>
        <v>0</v>
      </c>
      <c r="I250" s="802">
        <f t="shared" si="10"/>
        <v>0</v>
      </c>
      <c r="J250" s="792"/>
      <c r="K250" s="813"/>
      <c r="L250" s="803"/>
      <c r="M250" s="813"/>
      <c r="N250" s="803"/>
      <c r="O250" s="803"/>
    </row>
    <row r="251" spans="3:15">
      <c r="C251" s="736" t="s">
        <v>83</v>
      </c>
      <c r="D251" s="730"/>
      <c r="E251" s="730">
        <f>SUM(E191:E250)</f>
        <v>85102119.76000002</v>
      </c>
      <c r="F251" s="730"/>
      <c r="G251" s="730">
        <f>SUM(G191:G250)</f>
        <v>274533620.73935616</v>
      </c>
      <c r="H251" s="730">
        <f>SUM(H191:H250)</f>
        <v>274533620.73935616</v>
      </c>
      <c r="I251" s="730">
        <f>SUM(I191:I250)</f>
        <v>0</v>
      </c>
      <c r="J251" s="730"/>
      <c r="K251" s="730"/>
      <c r="L251" s="730"/>
      <c r="M251" s="730"/>
      <c r="N251" s="730"/>
      <c r="O251" s="314"/>
    </row>
    <row r="252" spans="3:15">
      <c r="D252" s="538"/>
      <c r="E252" s="314"/>
      <c r="F252" s="314"/>
      <c r="G252" s="314"/>
      <c r="H252" s="708"/>
      <c r="I252" s="708"/>
      <c r="J252" s="730"/>
      <c r="K252" s="708"/>
      <c r="L252" s="708"/>
      <c r="M252" s="708"/>
      <c r="N252" s="708"/>
      <c r="O252" s="314"/>
    </row>
    <row r="253" spans="3:15">
      <c r="C253" s="314" t="s">
        <v>13</v>
      </c>
      <c r="D253" s="538"/>
      <c r="E253" s="314"/>
      <c r="F253" s="314"/>
      <c r="G253" s="314"/>
      <c r="H253" s="708"/>
      <c r="I253" s="708"/>
      <c r="J253" s="730"/>
      <c r="K253" s="708"/>
      <c r="L253" s="708"/>
      <c r="M253" s="708"/>
      <c r="N253" s="708"/>
      <c r="O253" s="314"/>
    </row>
    <row r="254" spans="3:15">
      <c r="C254" s="314"/>
      <c r="D254" s="538"/>
      <c r="E254" s="314"/>
      <c r="F254" s="314"/>
      <c r="G254" s="314"/>
      <c r="H254" s="708"/>
      <c r="I254" s="708"/>
      <c r="J254" s="730"/>
      <c r="K254" s="708"/>
      <c r="L254" s="708"/>
      <c r="M254" s="708"/>
      <c r="N254" s="708"/>
      <c r="O254" s="314"/>
    </row>
    <row r="255" spans="3:15">
      <c r="C255" s="749" t="s">
        <v>14</v>
      </c>
      <c r="D255" s="736"/>
      <c r="E255" s="736"/>
      <c r="F255" s="736"/>
      <c r="G255" s="730"/>
      <c r="H255" s="730"/>
      <c r="I255" s="804"/>
      <c r="J255" s="804"/>
      <c r="K255" s="804"/>
      <c r="L255" s="804"/>
      <c r="M255" s="804"/>
      <c r="N255" s="804"/>
      <c r="O255" s="314"/>
    </row>
    <row r="256" spans="3:15">
      <c r="C256" s="735" t="s">
        <v>263</v>
      </c>
      <c r="D256" s="736"/>
      <c r="E256" s="736"/>
      <c r="F256" s="736"/>
      <c r="G256" s="730"/>
      <c r="H256" s="730"/>
      <c r="I256" s="804"/>
      <c r="J256" s="804"/>
      <c r="K256" s="804"/>
      <c r="L256" s="804"/>
      <c r="M256" s="804"/>
      <c r="N256" s="804"/>
      <c r="O256" s="314"/>
    </row>
    <row r="257" spans="1:16">
      <c r="C257" s="735" t="s">
        <v>84</v>
      </c>
      <c r="D257" s="736"/>
      <c r="E257" s="736"/>
      <c r="F257" s="736"/>
      <c r="G257" s="730"/>
      <c r="H257" s="730"/>
      <c r="I257" s="804"/>
      <c r="J257" s="804"/>
      <c r="K257" s="804"/>
      <c r="L257" s="804"/>
      <c r="M257" s="804"/>
      <c r="N257" s="804"/>
      <c r="O257" s="314"/>
    </row>
    <row r="258" spans="1:16">
      <c r="C258" s="735"/>
      <c r="D258" s="736"/>
      <c r="E258" s="736"/>
      <c r="F258" s="736"/>
      <c r="G258" s="730"/>
      <c r="H258" s="730"/>
      <c r="I258" s="804"/>
      <c r="J258" s="804"/>
      <c r="K258" s="804"/>
      <c r="L258" s="804"/>
      <c r="M258" s="804"/>
      <c r="N258" s="804"/>
      <c r="O258" s="314"/>
    </row>
    <row r="259" spans="1:16">
      <c r="C259" s="1526" t="s">
        <v>6</v>
      </c>
      <c r="D259" s="1526"/>
      <c r="E259" s="1526"/>
      <c r="F259" s="1526"/>
      <c r="G259" s="1526"/>
      <c r="H259" s="1526"/>
      <c r="I259" s="1526"/>
      <c r="J259" s="1526"/>
      <c r="K259" s="1526"/>
      <c r="L259" s="1526"/>
      <c r="M259" s="1526"/>
      <c r="N259" s="1526"/>
      <c r="O259" s="1526"/>
    </row>
    <row r="260" spans="1:16">
      <c r="C260" s="1526"/>
      <c r="D260" s="1526"/>
      <c r="E260" s="1526"/>
      <c r="F260" s="1526"/>
      <c r="G260" s="1526"/>
      <c r="H260" s="1526"/>
      <c r="I260" s="1526"/>
      <c r="J260" s="1526"/>
      <c r="K260" s="1526"/>
      <c r="L260" s="1526"/>
      <c r="M260" s="1526"/>
      <c r="N260" s="1526"/>
      <c r="O260" s="1526"/>
    </row>
    <row r="261" spans="1:16">
      <c r="C261" s="735"/>
      <c r="D261" s="736"/>
      <c r="E261" s="736"/>
      <c r="F261" s="736"/>
      <c r="G261" s="730"/>
      <c r="H261" s="730"/>
    </row>
    <row r="262" spans="1:16" ht="20.25">
      <c r="A262" s="737" t="str">
        <f>""&amp;A186&amp;" Worksheet J -  ATRR PROJECTED Calculation for PJM Projects Charged to Benefiting Zones"</f>
        <v xml:space="preserve"> Worksheet J -  ATRR PROJECTED Calculation for PJM Projects Charged to Benefiting Zones</v>
      </c>
      <c r="B262" s="348"/>
      <c r="C262" s="725"/>
      <c r="D262" s="538"/>
      <c r="E262" s="314"/>
      <c r="F262" s="707"/>
      <c r="G262" s="314"/>
      <c r="H262" s="708"/>
      <c r="K262" s="564"/>
      <c r="L262" s="564"/>
      <c r="M262" s="564"/>
      <c r="N262" s="653" t="str">
        <f>"Page "&amp;SUM(P$8:P262)&amp;" of "</f>
        <v xml:space="preserve">Page 4 of </v>
      </c>
      <c r="O262" s="654">
        <f>COUNT(P$8:P$56653)</f>
        <v>12</v>
      </c>
      <c r="P262" s="738">
        <v>1</v>
      </c>
    </row>
    <row r="263" spans="1:16">
      <c r="B263" s="348"/>
      <c r="C263" s="314"/>
      <c r="D263" s="538"/>
      <c r="E263" s="314"/>
      <c r="F263" s="314"/>
      <c r="G263" s="314"/>
      <c r="H263" s="708"/>
      <c r="I263" s="314"/>
      <c r="J263" s="427"/>
      <c r="K263" s="314"/>
      <c r="L263" s="314"/>
      <c r="M263" s="314"/>
      <c r="N263" s="314"/>
      <c r="O263" s="314"/>
      <c r="P263" s="427"/>
    </row>
    <row r="264" spans="1:16" ht="18">
      <c r="B264" s="657" t="s">
        <v>464</v>
      </c>
      <c r="C264" s="739" t="s">
        <v>85</v>
      </c>
      <c r="D264" s="538"/>
      <c r="E264" s="314"/>
      <c r="F264" s="314"/>
      <c r="G264" s="314"/>
      <c r="H264" s="708"/>
      <c r="I264" s="708"/>
      <c r="J264" s="730"/>
      <c r="K264" s="708"/>
      <c r="L264" s="708"/>
      <c r="M264" s="708"/>
      <c r="N264" s="708"/>
      <c r="O264" s="314"/>
    </row>
    <row r="265" spans="1:16" ht="18.75">
      <c r="B265" s="657"/>
      <c r="C265" s="656"/>
      <c r="D265" s="538"/>
      <c r="E265" s="314"/>
      <c r="F265" s="314"/>
      <c r="G265" s="314"/>
      <c r="H265" s="708"/>
      <c r="I265" s="708"/>
      <c r="J265" s="730"/>
      <c r="K265" s="708"/>
      <c r="L265" s="708"/>
      <c r="M265" s="708"/>
      <c r="N265" s="708"/>
      <c r="O265" s="314"/>
    </row>
    <row r="266" spans="1:16" ht="18.75">
      <c r="B266" s="657"/>
      <c r="C266" s="656" t="s">
        <v>86</v>
      </c>
      <c r="D266" s="538"/>
      <c r="E266" s="314"/>
      <c r="F266" s="314"/>
      <c r="G266" s="314"/>
      <c r="H266" s="708"/>
      <c r="I266" s="708"/>
      <c r="J266" s="730"/>
      <c r="K266" s="708"/>
      <c r="L266" s="708"/>
      <c r="M266" s="708"/>
      <c r="N266" s="708"/>
      <c r="O266" s="314"/>
    </row>
    <row r="267" spans="1:16" ht="15.75" thickBot="1">
      <c r="C267" s="240"/>
      <c r="D267" s="538"/>
      <c r="E267" s="314"/>
      <c r="F267" s="314"/>
      <c r="G267" s="314"/>
      <c r="H267" s="708"/>
      <c r="I267" s="708"/>
      <c r="J267" s="730"/>
      <c r="K267" s="708"/>
      <c r="L267" s="708"/>
      <c r="M267" s="708"/>
      <c r="N267" s="708"/>
      <c r="O267" s="314"/>
    </row>
    <row r="268" spans="1:16" ht="15.75">
      <c r="C268" s="659" t="s">
        <v>87</v>
      </c>
      <c r="D268" s="538"/>
      <c r="E268" s="314"/>
      <c r="F268" s="314"/>
      <c r="G268" s="806"/>
      <c r="H268" s="314" t="s">
        <v>66</v>
      </c>
      <c r="I268" s="314"/>
      <c r="J268" s="427"/>
      <c r="K268" s="740" t="s">
        <v>91</v>
      </c>
      <c r="L268" s="741"/>
      <c r="M268" s="742"/>
      <c r="N268" s="743">
        <f>IF(I274=0,0,VLOOKUP(I274,C281:O340,5))</f>
        <v>2120979.2019023621</v>
      </c>
      <c r="O268" s="314"/>
    </row>
    <row r="269" spans="1:16" ht="15.75">
      <c r="C269" s="659"/>
      <c r="D269" s="538"/>
      <c r="E269" s="314"/>
      <c r="F269" s="314"/>
      <c r="G269" s="314"/>
      <c r="H269" s="744"/>
      <c r="I269" s="744"/>
      <c r="J269" s="745"/>
      <c r="K269" s="746" t="s">
        <v>92</v>
      </c>
      <c r="L269" s="747"/>
      <c r="M269" s="427"/>
      <c r="N269" s="748">
        <f>IF(I274=0,0,VLOOKUP(I274,C281:O340,6))</f>
        <v>2120979.2019023621</v>
      </c>
      <c r="O269" s="314"/>
    </row>
    <row r="270" spans="1:16" ht="13.5" thickBot="1">
      <c r="C270" s="749" t="s">
        <v>88</v>
      </c>
      <c r="D270" s="1527" t="s">
        <v>812</v>
      </c>
      <c r="E270" s="1527"/>
      <c r="F270" s="1527"/>
      <c r="G270" s="1527"/>
      <c r="H270" s="1527"/>
      <c r="I270" s="1527"/>
      <c r="J270" s="730"/>
      <c r="K270" s="750" t="s">
        <v>230</v>
      </c>
      <c r="L270" s="751"/>
      <c r="M270" s="751"/>
      <c r="N270" s="752">
        <f>+N269-N268</f>
        <v>0</v>
      </c>
      <c r="O270" s="314"/>
    </row>
    <row r="271" spans="1:16">
      <c r="C271" s="753"/>
      <c r="D271" s="754"/>
      <c r="E271" s="734"/>
      <c r="F271" s="734"/>
      <c r="G271" s="755"/>
      <c r="H271" s="708"/>
      <c r="I271" s="708"/>
      <c r="J271" s="730"/>
      <c r="K271" s="708"/>
      <c r="L271" s="708"/>
      <c r="M271" s="708"/>
      <c r="N271" s="708"/>
      <c r="O271" s="314"/>
    </row>
    <row r="272" spans="1:16" ht="13.5" thickBot="1">
      <c r="C272" s="756"/>
      <c r="D272" s="757"/>
      <c r="E272" s="755"/>
      <c r="F272" s="755"/>
      <c r="G272" s="755"/>
      <c r="H272" s="755"/>
      <c r="I272" s="755"/>
      <c r="J272" s="758"/>
      <c r="K272" s="755"/>
      <c r="L272" s="755"/>
      <c r="M272" s="755"/>
      <c r="N272" s="755"/>
      <c r="O272" s="348"/>
    </row>
    <row r="273" spans="2:15" ht="13.5" thickBot="1">
      <c r="C273" s="759" t="s">
        <v>89</v>
      </c>
      <c r="D273" s="760"/>
      <c r="E273" s="760"/>
      <c r="F273" s="760"/>
      <c r="G273" s="760"/>
      <c r="H273" s="760"/>
      <c r="I273" s="761"/>
      <c r="J273" s="762"/>
      <c r="K273" s="314"/>
      <c r="L273" s="314"/>
      <c r="M273" s="314"/>
      <c r="N273" s="314"/>
      <c r="O273" s="763"/>
    </row>
    <row r="274" spans="2:15" ht="15">
      <c r="C274" s="764" t="s">
        <v>67</v>
      </c>
      <c r="D274" s="808">
        <v>19597955.440000001</v>
      </c>
      <c r="E274" s="725" t="s">
        <v>68</v>
      </c>
      <c r="G274" s="765"/>
      <c r="H274" s="765"/>
      <c r="I274" s="766">
        <f>$L$26</f>
        <v>2025</v>
      </c>
      <c r="J274" s="554"/>
      <c r="K274" s="1528" t="s">
        <v>239</v>
      </c>
      <c r="L274" s="1528"/>
      <c r="M274" s="1528"/>
      <c r="N274" s="1528"/>
      <c r="O274" s="1528"/>
    </row>
    <row r="275" spans="2:15">
      <c r="C275" s="764" t="s">
        <v>70</v>
      </c>
      <c r="D275" s="809">
        <v>2014</v>
      </c>
      <c r="E275" s="764" t="s">
        <v>71</v>
      </c>
      <c r="F275" s="765"/>
      <c r="H275" s="173"/>
      <c r="I275" s="810">
        <f>IF(G268="",0,$F$17)</f>
        <v>0</v>
      </c>
      <c r="J275" s="767"/>
      <c r="K275" s="730" t="s">
        <v>239</v>
      </c>
    </row>
    <row r="276" spans="2:15">
      <c r="C276" s="764" t="s">
        <v>72</v>
      </c>
      <c r="D276" s="808">
        <v>12</v>
      </c>
      <c r="E276" s="764" t="s">
        <v>73</v>
      </c>
      <c r="F276" s="765"/>
      <c r="H276" s="173"/>
      <c r="I276" s="768">
        <f>$G$70</f>
        <v>0.11318296473052861</v>
      </c>
      <c r="J276" s="769"/>
      <c r="K276" s="173" t="str">
        <f>"          INPUT PROJECTED ARR (WITH &amp; WITHOUT INCENTIVES) FROM EACH PRIOR YEAR"</f>
        <v xml:space="preserve">          INPUT PROJECTED ARR (WITH &amp; WITHOUT INCENTIVES) FROM EACH PRIOR YEAR</v>
      </c>
    </row>
    <row r="277" spans="2:15">
      <c r="C277" s="764" t="s">
        <v>74</v>
      </c>
      <c r="D277" s="770">
        <f>$G$79</f>
        <v>38</v>
      </c>
      <c r="E277" s="764" t="s">
        <v>75</v>
      </c>
      <c r="F277" s="765"/>
      <c r="H277" s="173"/>
      <c r="I277" s="768">
        <f>IF(G268="",I276,$G$69)</f>
        <v>0.11318296473052861</v>
      </c>
      <c r="J277" s="771"/>
      <c r="K277" s="173" t="s">
        <v>152</v>
      </c>
    </row>
    <row r="278" spans="2:15" ht="13.5" thickBot="1">
      <c r="C278" s="764" t="s">
        <v>76</v>
      </c>
      <c r="D278" s="807" t="s">
        <v>810</v>
      </c>
      <c r="E278" s="772" t="s">
        <v>77</v>
      </c>
      <c r="F278" s="773"/>
      <c r="G278" s="774"/>
      <c r="H278" s="774"/>
      <c r="I278" s="752">
        <f>IF(D274=0,0,D274/D277)</f>
        <v>515735.66947368422</v>
      </c>
      <c r="J278" s="730"/>
      <c r="K278" s="730" t="s">
        <v>158</v>
      </c>
      <c r="L278" s="730"/>
      <c r="M278" s="730"/>
      <c r="N278" s="730"/>
      <c r="O278" s="427"/>
    </row>
    <row r="279" spans="2:15" ht="38.25">
      <c r="B279" s="845"/>
      <c r="C279" s="775" t="s">
        <v>67</v>
      </c>
      <c r="D279" s="776" t="s">
        <v>78</v>
      </c>
      <c r="E279" s="777" t="s">
        <v>79</v>
      </c>
      <c r="F279" s="776" t="s">
        <v>80</v>
      </c>
      <c r="G279" s="777" t="s">
        <v>151</v>
      </c>
      <c r="H279" s="778" t="s">
        <v>151</v>
      </c>
      <c r="I279" s="775" t="s">
        <v>90</v>
      </c>
      <c r="J279" s="779"/>
      <c r="K279" s="777" t="s">
        <v>160</v>
      </c>
      <c r="L279" s="780"/>
      <c r="M279" s="777" t="s">
        <v>160</v>
      </c>
      <c r="N279" s="780"/>
      <c r="O279" s="780"/>
    </row>
    <row r="280" spans="2:15" ht="13.5" thickBot="1">
      <c r="C280" s="781" t="s">
        <v>467</v>
      </c>
      <c r="D280" s="782" t="s">
        <v>468</v>
      </c>
      <c r="E280" s="781" t="s">
        <v>361</v>
      </c>
      <c r="F280" s="782" t="s">
        <v>468</v>
      </c>
      <c r="G280" s="783" t="s">
        <v>93</v>
      </c>
      <c r="H280" s="784" t="s">
        <v>95</v>
      </c>
      <c r="I280" s="785" t="s">
        <v>15</v>
      </c>
      <c r="J280" s="786"/>
      <c r="K280" s="783" t="s">
        <v>82</v>
      </c>
      <c r="L280" s="787"/>
      <c r="M280" s="783" t="s">
        <v>95</v>
      </c>
      <c r="N280" s="787"/>
      <c r="O280" s="787"/>
    </row>
    <row r="281" spans="2:15">
      <c r="C281" s="788">
        <f>IF(D275= "","-",D275)</f>
        <v>2014</v>
      </c>
      <c r="D281" s="736">
        <f>+D274</f>
        <v>19597955.440000001</v>
      </c>
      <c r="E281" s="789">
        <f>+I278/12*(12-D276)</f>
        <v>0</v>
      </c>
      <c r="F281" s="736">
        <f>+D281-E281</f>
        <v>19597955.440000001</v>
      </c>
      <c r="G281" s="999">
        <f>+$I$96*((D281+F281)/2)+E281</f>
        <v>2218154.6993559916</v>
      </c>
      <c r="H281" s="1000">
        <f>$I$97*((D281+F281)/2)+E281</f>
        <v>2218154.6993559916</v>
      </c>
      <c r="I281" s="792">
        <f>+H281-G281</f>
        <v>0</v>
      </c>
      <c r="J281" s="792"/>
      <c r="K281" s="811">
        <v>2093479</v>
      </c>
      <c r="L281" s="793"/>
      <c r="M281" s="811">
        <v>2093479</v>
      </c>
      <c r="N281" s="793"/>
      <c r="O281" s="793"/>
    </row>
    <row r="282" spans="2:15">
      <c r="C282" s="788">
        <f>IF(D275="","-",+C281+1)</f>
        <v>2015</v>
      </c>
      <c r="D282" s="736">
        <f t="shared" ref="D282:D340" si="12">F281</f>
        <v>19597955.440000001</v>
      </c>
      <c r="E282" s="789">
        <f>IF(D282&gt;$I$278,$I$278,D282)</f>
        <v>515735.66947368422</v>
      </c>
      <c r="F282" s="736">
        <f t="shared" ref="F282:F340" si="13">+D282-E282</f>
        <v>19082219.770526316</v>
      </c>
      <c r="G282" s="794">
        <f t="shared" ref="G282:G340" si="14">+$I$96*((D282+F282)/2)+E282</f>
        <v>2704704.1227855179</v>
      </c>
      <c r="H282" s="795">
        <f t="shared" ref="H282:H340" si="15">$I$97*((D282+F282)/2)+E282</f>
        <v>2704704.1227855179</v>
      </c>
      <c r="I282" s="792">
        <f t="shared" ref="I282:I340" si="16">+H282-G282</f>
        <v>0</v>
      </c>
      <c r="J282" s="792"/>
      <c r="K282" s="812">
        <v>2304583</v>
      </c>
      <c r="L282" s="796"/>
      <c r="M282" s="812">
        <v>2304583</v>
      </c>
      <c r="N282" s="796"/>
      <c r="O282" s="796"/>
    </row>
    <row r="283" spans="2:15">
      <c r="C283" s="788">
        <f>IF(D275="","-",+C282+1)</f>
        <v>2016</v>
      </c>
      <c r="D283" s="736">
        <f t="shared" si="12"/>
        <v>19082219.770526316</v>
      </c>
      <c r="E283" s="789">
        <f t="shared" ref="E283:E340" si="17">IF(D283&gt;$I$278,$I$278,D283)</f>
        <v>515735.66947368422</v>
      </c>
      <c r="F283" s="736">
        <f t="shared" si="13"/>
        <v>18566484.101052631</v>
      </c>
      <c r="G283" s="794">
        <f t="shared" si="14"/>
        <v>2646331.6306972024</v>
      </c>
      <c r="H283" s="795">
        <f t="shared" si="15"/>
        <v>2646331.6306972024</v>
      </c>
      <c r="I283" s="792">
        <f t="shared" si="16"/>
        <v>0</v>
      </c>
      <c r="J283" s="792"/>
      <c r="K283" s="812">
        <v>2231859</v>
      </c>
      <c r="L283" s="796"/>
      <c r="M283" s="812">
        <v>2231859</v>
      </c>
      <c r="N283" s="796"/>
      <c r="O283" s="796"/>
    </row>
    <row r="284" spans="2:15">
      <c r="C284" s="788">
        <f>IF(D275="","-",+C283+1)</f>
        <v>2017</v>
      </c>
      <c r="D284" s="736">
        <f t="shared" si="12"/>
        <v>18566484.101052631</v>
      </c>
      <c r="E284" s="789">
        <f t="shared" si="17"/>
        <v>515735.66947368422</v>
      </c>
      <c r="F284" s="736">
        <f t="shared" si="13"/>
        <v>18050748.431578945</v>
      </c>
      <c r="G284" s="794">
        <f t="shared" si="14"/>
        <v>2587959.1386088864</v>
      </c>
      <c r="H284" s="795">
        <f t="shared" si="15"/>
        <v>2587959.1386088864</v>
      </c>
      <c r="I284" s="792">
        <f t="shared" si="16"/>
        <v>0</v>
      </c>
      <c r="J284" s="792"/>
      <c r="K284" s="812">
        <v>2437179</v>
      </c>
      <c r="L284" s="796"/>
      <c r="M284" s="812">
        <v>2437179</v>
      </c>
      <c r="N284" s="796"/>
      <c r="O284" s="796"/>
    </row>
    <row r="285" spans="2:15">
      <c r="C285" s="1315">
        <f>IF(D275="","-",+C284+1)</f>
        <v>2018</v>
      </c>
      <c r="D285" s="736">
        <f t="shared" si="12"/>
        <v>18050748.431578945</v>
      </c>
      <c r="E285" s="789">
        <f t="shared" si="17"/>
        <v>515735.66947368422</v>
      </c>
      <c r="F285" s="736">
        <f t="shared" si="13"/>
        <v>17535012.76210526</v>
      </c>
      <c r="G285" s="794">
        <f t="shared" si="14"/>
        <v>2529586.6465205709</v>
      </c>
      <c r="H285" s="795">
        <f t="shared" si="15"/>
        <v>2529586.6465205709</v>
      </c>
      <c r="I285" s="792">
        <f t="shared" si="16"/>
        <v>0</v>
      </c>
      <c r="J285" s="792"/>
      <c r="K285" s="812">
        <v>2120264</v>
      </c>
      <c r="L285" s="796"/>
      <c r="M285" s="812">
        <v>2120264</v>
      </c>
      <c r="N285" s="796"/>
      <c r="O285" s="796"/>
    </row>
    <row r="286" spans="2:15">
      <c r="C286" s="1315">
        <f>IF(D275="","-",+C285+1)</f>
        <v>2019</v>
      </c>
      <c r="D286" s="736">
        <f t="shared" si="12"/>
        <v>17535012.76210526</v>
      </c>
      <c r="E286" s="789">
        <f t="shared" si="17"/>
        <v>515735.66947368422</v>
      </c>
      <c r="F286" s="736">
        <f t="shared" si="13"/>
        <v>17019277.092631575</v>
      </c>
      <c r="G286" s="794">
        <f t="shared" si="14"/>
        <v>2471214.1544322553</v>
      </c>
      <c r="H286" s="795">
        <f t="shared" si="15"/>
        <v>2471214.1544322553</v>
      </c>
      <c r="I286" s="792">
        <f t="shared" si="16"/>
        <v>0</v>
      </c>
      <c r="J286" s="792"/>
      <c r="K286" s="812">
        <v>2258477.9929412021</v>
      </c>
      <c r="L286" s="796"/>
      <c r="M286" s="812">
        <v>2258477.9929412021</v>
      </c>
      <c r="N286" s="796"/>
      <c r="O286" s="796"/>
    </row>
    <row r="287" spans="2:15">
      <c r="C287" s="1315">
        <f>IF(D275="","-",+C286+1)</f>
        <v>2020</v>
      </c>
      <c r="D287" s="736">
        <f t="shared" si="12"/>
        <v>17019277.092631575</v>
      </c>
      <c r="E287" s="789">
        <f t="shared" si="17"/>
        <v>515735.66947368422</v>
      </c>
      <c r="F287" s="736">
        <f t="shared" si="13"/>
        <v>16503541.423157891</v>
      </c>
      <c r="G287" s="794">
        <f t="shared" si="14"/>
        <v>2412841.6623439393</v>
      </c>
      <c r="H287" s="795">
        <f t="shared" si="15"/>
        <v>2412841.6623439393</v>
      </c>
      <c r="I287" s="792">
        <f t="shared" si="16"/>
        <v>0</v>
      </c>
      <c r="J287" s="792"/>
      <c r="K287" s="812">
        <v>2224968.003991791</v>
      </c>
      <c r="L287" s="796"/>
      <c r="M287" s="812">
        <v>2224968.003991791</v>
      </c>
      <c r="N287" s="796"/>
      <c r="O287" s="796"/>
    </row>
    <row r="288" spans="2:15">
      <c r="C288" s="1315">
        <f>IF(D275="","-",+C287+1)</f>
        <v>2021</v>
      </c>
      <c r="D288" s="736">
        <f t="shared" si="12"/>
        <v>16503541.423157891</v>
      </c>
      <c r="E288" s="789">
        <f t="shared" si="17"/>
        <v>515735.66947368422</v>
      </c>
      <c r="F288" s="736">
        <f t="shared" si="13"/>
        <v>15987805.753684208</v>
      </c>
      <c r="G288" s="794">
        <f t="shared" si="14"/>
        <v>2354469.1702556242</v>
      </c>
      <c r="H288" s="795">
        <f t="shared" si="15"/>
        <v>2354469.1702556242</v>
      </c>
      <c r="I288" s="792">
        <f t="shared" si="16"/>
        <v>0</v>
      </c>
      <c r="J288" s="792"/>
      <c r="K288" s="812">
        <v>2229997.0591313955</v>
      </c>
      <c r="L288" s="796"/>
      <c r="M288" s="812">
        <v>2229997.0591313955</v>
      </c>
      <c r="N288" s="796"/>
      <c r="O288" s="796"/>
    </row>
    <row r="289" spans="3:15">
      <c r="C289" s="1315">
        <f>IF(D275="","-",+C288+1)</f>
        <v>2022</v>
      </c>
      <c r="D289" s="736">
        <f t="shared" si="12"/>
        <v>15987805.753684208</v>
      </c>
      <c r="E289" s="789">
        <f t="shared" si="17"/>
        <v>515735.66947368422</v>
      </c>
      <c r="F289" s="736">
        <f t="shared" si="13"/>
        <v>15472070.084210524</v>
      </c>
      <c r="G289" s="794">
        <f t="shared" si="14"/>
        <v>2296096.6781673087</v>
      </c>
      <c r="H289" s="795">
        <f t="shared" si="15"/>
        <v>2296096.6781673087</v>
      </c>
      <c r="I289" s="792">
        <f t="shared" si="16"/>
        <v>0</v>
      </c>
      <c r="J289" s="792"/>
      <c r="K289" s="812">
        <v>2221483.4104371248</v>
      </c>
      <c r="L289" s="796"/>
      <c r="M289" s="812">
        <v>2221483.4104371248</v>
      </c>
      <c r="N289" s="796"/>
      <c r="O289" s="796"/>
    </row>
    <row r="290" spans="3:15">
      <c r="C290" s="1315">
        <f>IF(D275="","-",+C289+1)</f>
        <v>2023</v>
      </c>
      <c r="D290" s="736">
        <f t="shared" si="12"/>
        <v>15472070.084210524</v>
      </c>
      <c r="E290" s="789">
        <f t="shared" si="17"/>
        <v>515735.66947368422</v>
      </c>
      <c r="F290" s="736">
        <f t="shared" si="13"/>
        <v>14956334.414736841</v>
      </c>
      <c r="G290" s="794">
        <f t="shared" si="14"/>
        <v>2237724.1860789931</v>
      </c>
      <c r="H290" s="795">
        <f t="shared" si="15"/>
        <v>2237724.1860789931</v>
      </c>
      <c r="I290" s="792">
        <f t="shared" si="16"/>
        <v>0</v>
      </c>
      <c r="J290" s="792"/>
      <c r="K290" s="812">
        <v>2207019.234508615</v>
      </c>
      <c r="L290" s="796"/>
      <c r="M290" s="812">
        <v>2207019.234508615</v>
      </c>
      <c r="N290" s="796"/>
      <c r="O290" s="796"/>
    </row>
    <row r="291" spans="3:15">
      <c r="C291" s="1433">
        <f>IF(D275="","-",+C290+1)</f>
        <v>2024</v>
      </c>
      <c r="D291" s="736">
        <f t="shared" si="12"/>
        <v>14956334.414736841</v>
      </c>
      <c r="E291" s="789">
        <f t="shared" si="17"/>
        <v>515735.66947368422</v>
      </c>
      <c r="F291" s="736">
        <f t="shared" si="13"/>
        <v>14440598.745263157</v>
      </c>
      <c r="G291" s="794">
        <f t="shared" si="14"/>
        <v>2179351.6939906776</v>
      </c>
      <c r="H291" s="795">
        <f t="shared" si="15"/>
        <v>2179351.6939906776</v>
      </c>
      <c r="I291" s="792">
        <f t="shared" si="16"/>
        <v>0</v>
      </c>
      <c r="J291" s="792"/>
      <c r="K291" s="812">
        <v>2193603.8654715037</v>
      </c>
      <c r="L291" s="796"/>
      <c r="M291" s="812">
        <v>2193603.8654715037</v>
      </c>
      <c r="N291" s="796"/>
      <c r="O291" s="796"/>
    </row>
    <row r="292" spans="3:15">
      <c r="C292" s="1311">
        <f>IF(D275="","-",+C291+1)</f>
        <v>2025</v>
      </c>
      <c r="D292" s="736">
        <f t="shared" si="12"/>
        <v>14440598.745263157</v>
      </c>
      <c r="E292" s="789">
        <f t="shared" si="17"/>
        <v>515735.66947368422</v>
      </c>
      <c r="F292" s="736">
        <f t="shared" si="13"/>
        <v>13924863.075789474</v>
      </c>
      <c r="G292" s="794">
        <f t="shared" si="14"/>
        <v>2120979.2019023621</v>
      </c>
      <c r="H292" s="795">
        <f t="shared" si="15"/>
        <v>2120979.2019023621</v>
      </c>
      <c r="I292" s="792">
        <f t="shared" si="16"/>
        <v>0</v>
      </c>
      <c r="J292" s="792"/>
      <c r="K292" s="812"/>
      <c r="L292" s="796"/>
      <c r="M292" s="812"/>
      <c r="N292" s="796"/>
      <c r="O292" s="796"/>
    </row>
    <row r="293" spans="3:15">
      <c r="C293" s="788">
        <f>IF(D275="","-",+C292+1)</f>
        <v>2026</v>
      </c>
      <c r="D293" s="736">
        <f t="shared" si="12"/>
        <v>13924863.075789474</v>
      </c>
      <c r="E293" s="789">
        <f t="shared" si="17"/>
        <v>515735.66947368422</v>
      </c>
      <c r="F293" s="736">
        <f t="shared" si="13"/>
        <v>13409127.40631579</v>
      </c>
      <c r="G293" s="794">
        <f t="shared" si="14"/>
        <v>2062606.7098140465</v>
      </c>
      <c r="H293" s="795">
        <f t="shared" si="15"/>
        <v>2062606.7098140465</v>
      </c>
      <c r="I293" s="792">
        <f t="shared" si="16"/>
        <v>0</v>
      </c>
      <c r="J293" s="792"/>
      <c r="K293" s="812"/>
      <c r="L293" s="796"/>
      <c r="M293" s="812"/>
      <c r="N293" s="797"/>
      <c r="O293" s="796"/>
    </row>
    <row r="294" spans="3:15">
      <c r="C294" s="788">
        <f>IF(D275="","-",+C293+1)</f>
        <v>2027</v>
      </c>
      <c r="D294" s="736">
        <f t="shared" si="12"/>
        <v>13409127.40631579</v>
      </c>
      <c r="E294" s="789">
        <f t="shared" si="17"/>
        <v>515735.66947368422</v>
      </c>
      <c r="F294" s="736">
        <f t="shared" si="13"/>
        <v>12893391.736842107</v>
      </c>
      <c r="G294" s="794">
        <f t="shared" si="14"/>
        <v>2004234.2177257312</v>
      </c>
      <c r="H294" s="795">
        <f t="shared" si="15"/>
        <v>2004234.2177257312</v>
      </c>
      <c r="I294" s="792">
        <f t="shared" si="16"/>
        <v>0</v>
      </c>
      <c r="J294" s="792"/>
      <c r="K294" s="812"/>
      <c r="L294" s="796"/>
      <c r="M294" s="812"/>
      <c r="N294" s="796"/>
      <c r="O294" s="796"/>
    </row>
    <row r="295" spans="3:15">
      <c r="C295" s="788">
        <f>IF(D275="","-",+C294+1)</f>
        <v>2028</v>
      </c>
      <c r="D295" s="736">
        <f t="shared" si="12"/>
        <v>12893391.736842107</v>
      </c>
      <c r="E295" s="789">
        <f t="shared" si="17"/>
        <v>515735.66947368422</v>
      </c>
      <c r="F295" s="736">
        <f t="shared" si="13"/>
        <v>12377656.067368424</v>
      </c>
      <c r="G295" s="794">
        <f t="shared" si="14"/>
        <v>1945861.7256374154</v>
      </c>
      <c r="H295" s="795">
        <f t="shared" si="15"/>
        <v>1945861.7256374154</v>
      </c>
      <c r="I295" s="792">
        <f t="shared" si="16"/>
        <v>0</v>
      </c>
      <c r="J295" s="792"/>
      <c r="K295" s="812"/>
      <c r="L295" s="796"/>
      <c r="M295" s="812"/>
      <c r="N295" s="796"/>
      <c r="O295" s="796"/>
    </row>
    <row r="296" spans="3:15">
      <c r="C296" s="788">
        <f>IF(D275="","-",+C295+1)</f>
        <v>2029</v>
      </c>
      <c r="D296" s="736">
        <f t="shared" si="12"/>
        <v>12377656.067368424</v>
      </c>
      <c r="E296" s="789">
        <f t="shared" si="17"/>
        <v>515735.66947368422</v>
      </c>
      <c r="F296" s="736">
        <f t="shared" si="13"/>
        <v>11861920.39789474</v>
      </c>
      <c r="G296" s="794">
        <f t="shared" si="14"/>
        <v>1887489.2335491001</v>
      </c>
      <c r="H296" s="795">
        <f t="shared" si="15"/>
        <v>1887489.2335491001</v>
      </c>
      <c r="I296" s="792">
        <f t="shared" si="16"/>
        <v>0</v>
      </c>
      <c r="J296" s="792"/>
      <c r="K296" s="812"/>
      <c r="L296" s="796"/>
      <c r="M296" s="812"/>
      <c r="N296" s="796"/>
      <c r="O296" s="796"/>
    </row>
    <row r="297" spans="3:15">
      <c r="C297" s="788">
        <f>IF(D275="","-",+C296+1)</f>
        <v>2030</v>
      </c>
      <c r="D297" s="736">
        <f t="shared" si="12"/>
        <v>11861920.39789474</v>
      </c>
      <c r="E297" s="789">
        <f t="shared" si="17"/>
        <v>515735.66947368422</v>
      </c>
      <c r="F297" s="736">
        <f t="shared" si="13"/>
        <v>11346184.728421057</v>
      </c>
      <c r="G297" s="794">
        <f t="shared" si="14"/>
        <v>1829116.7414607846</v>
      </c>
      <c r="H297" s="795">
        <f t="shared" si="15"/>
        <v>1829116.7414607846</v>
      </c>
      <c r="I297" s="792">
        <f t="shared" si="16"/>
        <v>0</v>
      </c>
      <c r="J297" s="792"/>
      <c r="K297" s="812"/>
      <c r="L297" s="796"/>
      <c r="M297" s="812"/>
      <c r="N297" s="796"/>
      <c r="O297" s="796"/>
    </row>
    <row r="298" spans="3:15">
      <c r="C298" s="788">
        <f>IF(D275="","-",+C297+1)</f>
        <v>2031</v>
      </c>
      <c r="D298" s="736">
        <f t="shared" si="12"/>
        <v>11346184.728421057</v>
      </c>
      <c r="E298" s="789">
        <f t="shared" si="17"/>
        <v>515735.66947368422</v>
      </c>
      <c r="F298" s="736">
        <f t="shared" si="13"/>
        <v>10830449.058947373</v>
      </c>
      <c r="G298" s="794">
        <f t="shared" si="14"/>
        <v>1770744.2493724693</v>
      </c>
      <c r="H298" s="795">
        <f t="shared" si="15"/>
        <v>1770744.2493724693</v>
      </c>
      <c r="I298" s="792">
        <f t="shared" si="16"/>
        <v>0</v>
      </c>
      <c r="J298" s="792"/>
      <c r="K298" s="812"/>
      <c r="L298" s="796"/>
      <c r="M298" s="812"/>
      <c r="N298" s="796"/>
      <c r="O298" s="796"/>
    </row>
    <row r="299" spans="3:15">
      <c r="C299" s="788">
        <f>IF(D275="","-",+C298+1)</f>
        <v>2032</v>
      </c>
      <c r="D299" s="736">
        <f t="shared" si="12"/>
        <v>10830449.058947373</v>
      </c>
      <c r="E299" s="789">
        <f t="shared" si="17"/>
        <v>515735.66947368422</v>
      </c>
      <c r="F299" s="736">
        <f t="shared" si="13"/>
        <v>10314713.38947369</v>
      </c>
      <c r="G299" s="794">
        <f t="shared" si="14"/>
        <v>1712371.7572841535</v>
      </c>
      <c r="H299" s="795">
        <f t="shared" si="15"/>
        <v>1712371.7572841535</v>
      </c>
      <c r="I299" s="792">
        <f t="shared" si="16"/>
        <v>0</v>
      </c>
      <c r="J299" s="792"/>
      <c r="K299" s="812"/>
      <c r="L299" s="796"/>
      <c r="M299" s="812"/>
      <c r="N299" s="796"/>
      <c r="O299" s="796"/>
    </row>
    <row r="300" spans="3:15">
      <c r="C300" s="788">
        <f>IF(D275="","-",+C299+1)</f>
        <v>2033</v>
      </c>
      <c r="D300" s="736">
        <f t="shared" si="12"/>
        <v>10314713.38947369</v>
      </c>
      <c r="E300" s="789">
        <f t="shared" si="17"/>
        <v>515735.66947368422</v>
      </c>
      <c r="F300" s="736">
        <f t="shared" si="13"/>
        <v>9798977.7200000063</v>
      </c>
      <c r="G300" s="794">
        <f t="shared" si="14"/>
        <v>1653999.2651958384</v>
      </c>
      <c r="H300" s="795">
        <f t="shared" si="15"/>
        <v>1653999.2651958384</v>
      </c>
      <c r="I300" s="792">
        <f t="shared" si="16"/>
        <v>0</v>
      </c>
      <c r="J300" s="792"/>
      <c r="K300" s="812"/>
      <c r="L300" s="796"/>
      <c r="M300" s="812"/>
      <c r="N300" s="796"/>
      <c r="O300" s="796"/>
    </row>
    <row r="301" spans="3:15">
      <c r="C301" s="788">
        <f>IF(D275="","-",+C300+1)</f>
        <v>2034</v>
      </c>
      <c r="D301" s="736">
        <f t="shared" si="12"/>
        <v>9798977.7200000063</v>
      </c>
      <c r="E301" s="789">
        <f t="shared" si="17"/>
        <v>515735.66947368422</v>
      </c>
      <c r="F301" s="736">
        <f t="shared" si="13"/>
        <v>9283242.0505263228</v>
      </c>
      <c r="G301" s="794">
        <f t="shared" si="14"/>
        <v>1595626.7731075226</v>
      </c>
      <c r="H301" s="795">
        <f t="shared" si="15"/>
        <v>1595626.7731075226</v>
      </c>
      <c r="I301" s="792">
        <f t="shared" si="16"/>
        <v>0</v>
      </c>
      <c r="J301" s="792"/>
      <c r="K301" s="812"/>
      <c r="L301" s="796"/>
      <c r="M301" s="812"/>
      <c r="N301" s="796"/>
      <c r="O301" s="796"/>
    </row>
    <row r="302" spans="3:15">
      <c r="C302" s="788">
        <f>IF(D275="","-",+C301+1)</f>
        <v>2035</v>
      </c>
      <c r="D302" s="736">
        <f t="shared" si="12"/>
        <v>9283242.0505263228</v>
      </c>
      <c r="E302" s="789">
        <f t="shared" si="17"/>
        <v>515735.66947368422</v>
      </c>
      <c r="F302" s="736">
        <f t="shared" si="13"/>
        <v>8767506.3810526393</v>
      </c>
      <c r="G302" s="794">
        <f t="shared" si="14"/>
        <v>1537254.2810192076</v>
      </c>
      <c r="H302" s="795">
        <f t="shared" si="15"/>
        <v>1537254.2810192076</v>
      </c>
      <c r="I302" s="792">
        <f t="shared" si="16"/>
        <v>0</v>
      </c>
      <c r="J302" s="792"/>
      <c r="K302" s="812"/>
      <c r="L302" s="796"/>
      <c r="M302" s="812"/>
      <c r="N302" s="796"/>
      <c r="O302" s="796"/>
    </row>
    <row r="303" spans="3:15">
      <c r="C303" s="788">
        <f>IF(D275="","-",+C302+1)</f>
        <v>2036</v>
      </c>
      <c r="D303" s="736">
        <f t="shared" si="12"/>
        <v>8767506.3810526393</v>
      </c>
      <c r="E303" s="789">
        <f t="shared" si="17"/>
        <v>515735.66947368422</v>
      </c>
      <c r="F303" s="736">
        <f t="shared" si="13"/>
        <v>8251770.7115789549</v>
      </c>
      <c r="G303" s="794">
        <f t="shared" si="14"/>
        <v>1478881.7889308918</v>
      </c>
      <c r="H303" s="795">
        <f t="shared" si="15"/>
        <v>1478881.7889308918</v>
      </c>
      <c r="I303" s="792">
        <f t="shared" si="16"/>
        <v>0</v>
      </c>
      <c r="J303" s="792"/>
      <c r="K303" s="812"/>
      <c r="L303" s="796"/>
      <c r="M303" s="812"/>
      <c r="N303" s="796"/>
      <c r="O303" s="796"/>
    </row>
    <row r="304" spans="3:15">
      <c r="C304" s="788">
        <f>IF(D275="","-",+C303+1)</f>
        <v>2037</v>
      </c>
      <c r="D304" s="736">
        <f t="shared" si="12"/>
        <v>8251770.7115789549</v>
      </c>
      <c r="E304" s="789">
        <f t="shared" si="17"/>
        <v>515735.66947368422</v>
      </c>
      <c r="F304" s="736">
        <f t="shared" si="13"/>
        <v>7736035.0421052705</v>
      </c>
      <c r="G304" s="794">
        <f t="shared" si="14"/>
        <v>1420509.2968425762</v>
      </c>
      <c r="H304" s="795">
        <f t="shared" si="15"/>
        <v>1420509.2968425762</v>
      </c>
      <c r="I304" s="792">
        <f t="shared" si="16"/>
        <v>0</v>
      </c>
      <c r="J304" s="792"/>
      <c r="K304" s="812"/>
      <c r="L304" s="796"/>
      <c r="M304" s="812"/>
      <c r="N304" s="796"/>
      <c r="O304" s="796"/>
    </row>
    <row r="305" spans="3:15">
      <c r="C305" s="788">
        <f>IF(D275="","-",+C304+1)</f>
        <v>2038</v>
      </c>
      <c r="D305" s="736">
        <f t="shared" si="12"/>
        <v>7736035.0421052705</v>
      </c>
      <c r="E305" s="789">
        <f t="shared" si="17"/>
        <v>515735.66947368422</v>
      </c>
      <c r="F305" s="736">
        <f t="shared" si="13"/>
        <v>7220299.3726315862</v>
      </c>
      <c r="G305" s="794">
        <f t="shared" si="14"/>
        <v>1362136.8047542607</v>
      </c>
      <c r="H305" s="795">
        <f t="shared" si="15"/>
        <v>1362136.8047542607</v>
      </c>
      <c r="I305" s="792">
        <f t="shared" si="16"/>
        <v>0</v>
      </c>
      <c r="J305" s="792"/>
      <c r="K305" s="812"/>
      <c r="L305" s="796"/>
      <c r="M305" s="812"/>
      <c r="N305" s="796"/>
      <c r="O305" s="796"/>
    </row>
    <row r="306" spans="3:15">
      <c r="C306" s="788">
        <f>IF(D275="","-",+C305+1)</f>
        <v>2039</v>
      </c>
      <c r="D306" s="736">
        <f t="shared" si="12"/>
        <v>7220299.3726315862</v>
      </c>
      <c r="E306" s="789">
        <f t="shared" si="17"/>
        <v>515735.66947368422</v>
      </c>
      <c r="F306" s="736">
        <f t="shared" si="13"/>
        <v>6704563.7031579018</v>
      </c>
      <c r="G306" s="794">
        <f t="shared" si="14"/>
        <v>1303764.3126659452</v>
      </c>
      <c r="H306" s="795">
        <f t="shared" si="15"/>
        <v>1303764.3126659452</v>
      </c>
      <c r="I306" s="792">
        <f t="shared" si="16"/>
        <v>0</v>
      </c>
      <c r="J306" s="792"/>
      <c r="K306" s="812"/>
      <c r="L306" s="796"/>
      <c r="M306" s="812"/>
      <c r="N306" s="796"/>
      <c r="O306" s="796"/>
    </row>
    <row r="307" spans="3:15">
      <c r="C307" s="788">
        <f>IF(D275="","-",+C306+1)</f>
        <v>2040</v>
      </c>
      <c r="D307" s="736">
        <f t="shared" si="12"/>
        <v>6704563.7031579018</v>
      </c>
      <c r="E307" s="789">
        <f t="shared" si="17"/>
        <v>515735.66947368422</v>
      </c>
      <c r="F307" s="736">
        <f t="shared" si="13"/>
        <v>6188828.0336842174</v>
      </c>
      <c r="G307" s="794">
        <f t="shared" si="14"/>
        <v>1245391.8205776294</v>
      </c>
      <c r="H307" s="795">
        <f t="shared" si="15"/>
        <v>1245391.8205776294</v>
      </c>
      <c r="I307" s="792">
        <f t="shared" si="16"/>
        <v>0</v>
      </c>
      <c r="J307" s="792"/>
      <c r="K307" s="812"/>
      <c r="L307" s="796"/>
      <c r="M307" s="812"/>
      <c r="N307" s="796"/>
      <c r="O307" s="796"/>
    </row>
    <row r="308" spans="3:15">
      <c r="C308" s="788">
        <f>IF(D275="","-",+C307+1)</f>
        <v>2041</v>
      </c>
      <c r="D308" s="736">
        <f t="shared" si="12"/>
        <v>6188828.0336842174</v>
      </c>
      <c r="E308" s="789">
        <f t="shared" si="17"/>
        <v>515735.66947368422</v>
      </c>
      <c r="F308" s="736">
        <f t="shared" si="13"/>
        <v>5673092.364210533</v>
      </c>
      <c r="G308" s="794">
        <f t="shared" si="14"/>
        <v>1187019.3284893141</v>
      </c>
      <c r="H308" s="795">
        <f t="shared" si="15"/>
        <v>1187019.3284893141</v>
      </c>
      <c r="I308" s="792">
        <f t="shared" si="16"/>
        <v>0</v>
      </c>
      <c r="J308" s="792"/>
      <c r="K308" s="812"/>
      <c r="L308" s="796"/>
      <c r="M308" s="812"/>
      <c r="N308" s="796"/>
      <c r="O308" s="796"/>
    </row>
    <row r="309" spans="3:15">
      <c r="C309" s="788">
        <f>IF(D275="","-",+C308+1)</f>
        <v>2042</v>
      </c>
      <c r="D309" s="736">
        <f t="shared" si="12"/>
        <v>5673092.364210533</v>
      </c>
      <c r="E309" s="789">
        <f t="shared" si="17"/>
        <v>515735.66947368422</v>
      </c>
      <c r="F309" s="736">
        <f t="shared" si="13"/>
        <v>5157356.6947368486</v>
      </c>
      <c r="G309" s="790">
        <f t="shared" si="14"/>
        <v>1128646.8364009983</v>
      </c>
      <c r="H309" s="795">
        <f t="shared" si="15"/>
        <v>1128646.8364009983</v>
      </c>
      <c r="I309" s="792">
        <f t="shared" si="16"/>
        <v>0</v>
      </c>
      <c r="J309" s="792"/>
      <c r="K309" s="812"/>
      <c r="L309" s="796"/>
      <c r="M309" s="812"/>
      <c r="N309" s="796"/>
      <c r="O309" s="796"/>
    </row>
    <row r="310" spans="3:15">
      <c r="C310" s="788">
        <f>IF(D275="","-",+C309+1)</f>
        <v>2043</v>
      </c>
      <c r="D310" s="736">
        <f t="shared" si="12"/>
        <v>5157356.6947368486</v>
      </c>
      <c r="E310" s="789">
        <f t="shared" si="17"/>
        <v>515735.66947368422</v>
      </c>
      <c r="F310" s="736">
        <f t="shared" si="13"/>
        <v>4641621.0252631642</v>
      </c>
      <c r="G310" s="794">
        <f t="shared" si="14"/>
        <v>1070274.3443126827</v>
      </c>
      <c r="H310" s="795">
        <f t="shared" si="15"/>
        <v>1070274.3443126827</v>
      </c>
      <c r="I310" s="792">
        <f t="shared" si="16"/>
        <v>0</v>
      </c>
      <c r="J310" s="792"/>
      <c r="K310" s="812"/>
      <c r="L310" s="796"/>
      <c r="M310" s="812"/>
      <c r="N310" s="796"/>
      <c r="O310" s="796"/>
    </row>
    <row r="311" spans="3:15">
      <c r="C311" s="788">
        <f>IF(D275="","-",+C310+1)</f>
        <v>2044</v>
      </c>
      <c r="D311" s="736">
        <f t="shared" si="12"/>
        <v>4641621.0252631642</v>
      </c>
      <c r="E311" s="789">
        <f t="shared" si="17"/>
        <v>515735.66947368422</v>
      </c>
      <c r="F311" s="736">
        <f t="shared" si="13"/>
        <v>4125885.3557894798</v>
      </c>
      <c r="G311" s="794">
        <f t="shared" si="14"/>
        <v>1011901.8522243672</v>
      </c>
      <c r="H311" s="795">
        <f t="shared" si="15"/>
        <v>1011901.8522243672</v>
      </c>
      <c r="I311" s="792">
        <f t="shared" si="16"/>
        <v>0</v>
      </c>
      <c r="J311" s="792"/>
      <c r="K311" s="812"/>
      <c r="L311" s="796"/>
      <c r="M311" s="812"/>
      <c r="N311" s="796"/>
      <c r="O311" s="796"/>
    </row>
    <row r="312" spans="3:15">
      <c r="C312" s="788">
        <f>IF(D275="","-",+C311+1)</f>
        <v>2045</v>
      </c>
      <c r="D312" s="736">
        <f t="shared" si="12"/>
        <v>4125885.3557894798</v>
      </c>
      <c r="E312" s="789">
        <f t="shared" si="17"/>
        <v>515735.66947368422</v>
      </c>
      <c r="F312" s="736">
        <f t="shared" si="13"/>
        <v>3610149.6863157954</v>
      </c>
      <c r="G312" s="794">
        <f t="shared" si="14"/>
        <v>953529.36013605166</v>
      </c>
      <c r="H312" s="795">
        <f t="shared" si="15"/>
        <v>953529.36013605166</v>
      </c>
      <c r="I312" s="792">
        <f t="shared" si="16"/>
        <v>0</v>
      </c>
      <c r="J312" s="792"/>
      <c r="K312" s="812"/>
      <c r="L312" s="796"/>
      <c r="M312" s="812"/>
      <c r="N312" s="796"/>
      <c r="O312" s="796"/>
    </row>
    <row r="313" spans="3:15">
      <c r="C313" s="788">
        <f>IF(D275="","-",+C312+1)</f>
        <v>2046</v>
      </c>
      <c r="D313" s="736">
        <f t="shared" si="12"/>
        <v>3610149.6863157954</v>
      </c>
      <c r="E313" s="789">
        <f t="shared" si="17"/>
        <v>515735.66947368422</v>
      </c>
      <c r="F313" s="736">
        <f t="shared" si="13"/>
        <v>3094414.016842111</v>
      </c>
      <c r="G313" s="794">
        <f t="shared" si="14"/>
        <v>895156.868047736</v>
      </c>
      <c r="H313" s="795">
        <f t="shared" si="15"/>
        <v>895156.868047736</v>
      </c>
      <c r="I313" s="792">
        <f t="shared" si="16"/>
        <v>0</v>
      </c>
      <c r="J313" s="792"/>
      <c r="K313" s="812"/>
      <c r="L313" s="796"/>
      <c r="M313" s="812"/>
      <c r="N313" s="796"/>
      <c r="O313" s="796"/>
    </row>
    <row r="314" spans="3:15">
      <c r="C314" s="788">
        <f>IF(D275="","-",+C313+1)</f>
        <v>2047</v>
      </c>
      <c r="D314" s="736">
        <f t="shared" si="12"/>
        <v>3094414.016842111</v>
      </c>
      <c r="E314" s="789">
        <f t="shared" si="17"/>
        <v>515735.66947368422</v>
      </c>
      <c r="F314" s="736">
        <f t="shared" si="13"/>
        <v>2578678.3473684266</v>
      </c>
      <c r="G314" s="794">
        <f t="shared" si="14"/>
        <v>836784.37595942046</v>
      </c>
      <c r="H314" s="795">
        <f t="shared" si="15"/>
        <v>836784.37595942046</v>
      </c>
      <c r="I314" s="792">
        <f t="shared" si="16"/>
        <v>0</v>
      </c>
      <c r="J314" s="792"/>
      <c r="K314" s="812"/>
      <c r="L314" s="796"/>
      <c r="M314" s="812"/>
      <c r="N314" s="796"/>
      <c r="O314" s="796"/>
    </row>
    <row r="315" spans="3:15">
      <c r="C315" s="788">
        <f>IF(D275="","-",+C314+1)</f>
        <v>2048</v>
      </c>
      <c r="D315" s="736">
        <f t="shared" si="12"/>
        <v>2578678.3473684266</v>
      </c>
      <c r="E315" s="789">
        <f t="shared" si="17"/>
        <v>515735.66947368422</v>
      </c>
      <c r="F315" s="736">
        <f t="shared" si="13"/>
        <v>2062942.6778947425</v>
      </c>
      <c r="G315" s="794">
        <f t="shared" si="14"/>
        <v>778411.8838711048</v>
      </c>
      <c r="H315" s="795">
        <f t="shared" si="15"/>
        <v>778411.8838711048</v>
      </c>
      <c r="I315" s="792">
        <f t="shared" si="16"/>
        <v>0</v>
      </c>
      <c r="J315" s="792"/>
      <c r="K315" s="812"/>
      <c r="L315" s="796"/>
      <c r="M315" s="812"/>
      <c r="N315" s="796"/>
      <c r="O315" s="796"/>
    </row>
    <row r="316" spans="3:15">
      <c r="C316" s="788">
        <f>IF(D275="","-",+C315+1)</f>
        <v>2049</v>
      </c>
      <c r="D316" s="736">
        <f t="shared" si="12"/>
        <v>2062942.6778947425</v>
      </c>
      <c r="E316" s="789">
        <f t="shared" si="17"/>
        <v>515735.66947368422</v>
      </c>
      <c r="F316" s="736">
        <f t="shared" si="13"/>
        <v>1547207.0084210583</v>
      </c>
      <c r="G316" s="794">
        <f t="shared" si="14"/>
        <v>720039.39178278926</v>
      </c>
      <c r="H316" s="795">
        <f t="shared" si="15"/>
        <v>720039.39178278926</v>
      </c>
      <c r="I316" s="792">
        <f t="shared" si="16"/>
        <v>0</v>
      </c>
      <c r="J316" s="792"/>
      <c r="K316" s="812"/>
      <c r="L316" s="796"/>
      <c r="M316" s="812"/>
      <c r="N316" s="796"/>
      <c r="O316" s="796"/>
    </row>
    <row r="317" spans="3:15">
      <c r="C317" s="788">
        <f>IF(D275="","-",+C316+1)</f>
        <v>2050</v>
      </c>
      <c r="D317" s="736">
        <f t="shared" si="12"/>
        <v>1547207.0084210583</v>
      </c>
      <c r="E317" s="789">
        <f t="shared" si="17"/>
        <v>515735.66947368422</v>
      </c>
      <c r="F317" s="736">
        <f t="shared" si="13"/>
        <v>1031471.3389473741</v>
      </c>
      <c r="G317" s="794">
        <f t="shared" si="14"/>
        <v>661666.89969447372</v>
      </c>
      <c r="H317" s="795">
        <f t="shared" si="15"/>
        <v>661666.89969447372</v>
      </c>
      <c r="I317" s="792">
        <f t="shared" si="16"/>
        <v>0</v>
      </c>
      <c r="J317" s="792"/>
      <c r="K317" s="812"/>
      <c r="L317" s="796"/>
      <c r="M317" s="812"/>
      <c r="N317" s="796"/>
      <c r="O317" s="796"/>
    </row>
    <row r="318" spans="3:15">
      <c r="C318" s="788">
        <f>IF(D275="","-",+C317+1)</f>
        <v>2051</v>
      </c>
      <c r="D318" s="736">
        <f t="shared" si="12"/>
        <v>1031471.3389473741</v>
      </c>
      <c r="E318" s="789">
        <f t="shared" si="17"/>
        <v>515735.66947368422</v>
      </c>
      <c r="F318" s="736">
        <f t="shared" si="13"/>
        <v>515735.66947368992</v>
      </c>
      <c r="G318" s="794">
        <f t="shared" si="14"/>
        <v>603294.40760615817</v>
      </c>
      <c r="H318" s="795">
        <f t="shared" si="15"/>
        <v>603294.40760615817</v>
      </c>
      <c r="I318" s="792">
        <f t="shared" si="16"/>
        <v>0</v>
      </c>
      <c r="J318" s="792"/>
      <c r="K318" s="812"/>
      <c r="L318" s="796"/>
      <c r="M318" s="812"/>
      <c r="N318" s="796"/>
      <c r="O318" s="796"/>
    </row>
    <row r="319" spans="3:15">
      <c r="C319" s="788">
        <f>IF(D275="","-",+C318+1)</f>
        <v>2052</v>
      </c>
      <c r="D319" s="736">
        <f t="shared" si="12"/>
        <v>515735.66947368992</v>
      </c>
      <c r="E319" s="789">
        <f t="shared" si="17"/>
        <v>515735.66947368422</v>
      </c>
      <c r="F319" s="736">
        <f t="shared" si="13"/>
        <v>5.7043507695198059E-9</v>
      </c>
      <c r="G319" s="794">
        <f t="shared" si="14"/>
        <v>544921.91551784263</v>
      </c>
      <c r="H319" s="795">
        <f t="shared" si="15"/>
        <v>544921.91551784263</v>
      </c>
      <c r="I319" s="792">
        <f t="shared" si="16"/>
        <v>0</v>
      </c>
      <c r="J319" s="792"/>
      <c r="K319" s="812"/>
      <c r="L319" s="796"/>
      <c r="M319" s="812"/>
      <c r="N319" s="796"/>
      <c r="O319" s="796"/>
    </row>
    <row r="320" spans="3:15">
      <c r="C320" s="788">
        <f>IF(D275="","-",+C319+1)</f>
        <v>2053</v>
      </c>
      <c r="D320" s="736">
        <f t="shared" si="12"/>
        <v>5.7043507695198059E-9</v>
      </c>
      <c r="E320" s="789">
        <f t="shared" si="17"/>
        <v>5.7043507695198059E-9</v>
      </c>
      <c r="F320" s="736">
        <f t="shared" si="13"/>
        <v>0</v>
      </c>
      <c r="G320" s="794">
        <f t="shared" si="14"/>
        <v>6.0271684354983682E-9</v>
      </c>
      <c r="H320" s="795">
        <f t="shared" si="15"/>
        <v>6.0271684354983682E-9</v>
      </c>
      <c r="I320" s="792">
        <f t="shared" si="16"/>
        <v>0</v>
      </c>
      <c r="J320" s="792"/>
      <c r="K320" s="812"/>
      <c r="L320" s="796"/>
      <c r="M320" s="812"/>
      <c r="N320" s="796"/>
      <c r="O320" s="796"/>
    </row>
    <row r="321" spans="3:15">
      <c r="C321" s="788">
        <f>IF(D275="","-",+C320+1)</f>
        <v>2054</v>
      </c>
      <c r="D321" s="736">
        <f t="shared" si="12"/>
        <v>0</v>
      </c>
      <c r="E321" s="789">
        <f t="shared" si="17"/>
        <v>0</v>
      </c>
      <c r="F321" s="736">
        <f t="shared" si="13"/>
        <v>0</v>
      </c>
      <c r="G321" s="794">
        <f t="shared" si="14"/>
        <v>0</v>
      </c>
      <c r="H321" s="795">
        <f t="shared" si="15"/>
        <v>0</v>
      </c>
      <c r="I321" s="792">
        <f t="shared" si="16"/>
        <v>0</v>
      </c>
      <c r="J321" s="792"/>
      <c r="K321" s="812"/>
      <c r="L321" s="796"/>
      <c r="M321" s="812"/>
      <c r="N321" s="796"/>
      <c r="O321" s="796"/>
    </row>
    <row r="322" spans="3:15">
      <c r="C322" s="788">
        <f>IF(D275="","-",+C321+1)</f>
        <v>2055</v>
      </c>
      <c r="D322" s="736">
        <f t="shared" si="12"/>
        <v>0</v>
      </c>
      <c r="E322" s="789">
        <f t="shared" si="17"/>
        <v>0</v>
      </c>
      <c r="F322" s="736">
        <f t="shared" si="13"/>
        <v>0</v>
      </c>
      <c r="G322" s="794">
        <f t="shared" si="14"/>
        <v>0</v>
      </c>
      <c r="H322" s="795">
        <f t="shared" si="15"/>
        <v>0</v>
      </c>
      <c r="I322" s="792">
        <f t="shared" si="16"/>
        <v>0</v>
      </c>
      <c r="J322" s="792"/>
      <c r="K322" s="812"/>
      <c r="L322" s="796"/>
      <c r="M322" s="812"/>
      <c r="N322" s="796"/>
      <c r="O322" s="796"/>
    </row>
    <row r="323" spans="3:15">
      <c r="C323" s="788">
        <f>IF(D275="","-",+C322+1)</f>
        <v>2056</v>
      </c>
      <c r="D323" s="736">
        <f t="shared" si="12"/>
        <v>0</v>
      </c>
      <c r="E323" s="789">
        <f t="shared" si="17"/>
        <v>0</v>
      </c>
      <c r="F323" s="736">
        <f t="shared" si="13"/>
        <v>0</v>
      </c>
      <c r="G323" s="794">
        <f t="shared" si="14"/>
        <v>0</v>
      </c>
      <c r="H323" s="795">
        <f t="shared" si="15"/>
        <v>0</v>
      </c>
      <c r="I323" s="792">
        <f t="shared" si="16"/>
        <v>0</v>
      </c>
      <c r="J323" s="792"/>
      <c r="K323" s="812"/>
      <c r="L323" s="796"/>
      <c r="M323" s="812"/>
      <c r="N323" s="796"/>
      <c r="O323" s="796"/>
    </row>
    <row r="324" spans="3:15">
      <c r="C324" s="788">
        <f>IF(D275="","-",+C323+1)</f>
        <v>2057</v>
      </c>
      <c r="D324" s="736">
        <f t="shared" si="12"/>
        <v>0</v>
      </c>
      <c r="E324" s="789">
        <f t="shared" si="17"/>
        <v>0</v>
      </c>
      <c r="F324" s="736">
        <f t="shared" si="13"/>
        <v>0</v>
      </c>
      <c r="G324" s="794">
        <f t="shared" si="14"/>
        <v>0</v>
      </c>
      <c r="H324" s="795">
        <f t="shared" si="15"/>
        <v>0</v>
      </c>
      <c r="I324" s="792">
        <f t="shared" si="16"/>
        <v>0</v>
      </c>
      <c r="J324" s="792"/>
      <c r="K324" s="812"/>
      <c r="L324" s="796"/>
      <c r="M324" s="812"/>
      <c r="N324" s="796"/>
      <c r="O324" s="796"/>
    </row>
    <row r="325" spans="3:15">
      <c r="C325" s="788">
        <f>IF(D275="","-",+C324+1)</f>
        <v>2058</v>
      </c>
      <c r="D325" s="736">
        <f t="shared" si="12"/>
        <v>0</v>
      </c>
      <c r="E325" s="789">
        <f t="shared" si="17"/>
        <v>0</v>
      </c>
      <c r="F325" s="736">
        <f t="shared" si="13"/>
        <v>0</v>
      </c>
      <c r="G325" s="794">
        <f t="shared" si="14"/>
        <v>0</v>
      </c>
      <c r="H325" s="795">
        <f t="shared" si="15"/>
        <v>0</v>
      </c>
      <c r="I325" s="792">
        <f t="shared" si="16"/>
        <v>0</v>
      </c>
      <c r="J325" s="792"/>
      <c r="K325" s="812"/>
      <c r="L325" s="796"/>
      <c r="M325" s="812"/>
      <c r="N325" s="796"/>
      <c r="O325" s="796"/>
    </row>
    <row r="326" spans="3:15">
      <c r="C326" s="788">
        <f>IF(D275="","-",+C325+1)</f>
        <v>2059</v>
      </c>
      <c r="D326" s="736">
        <f t="shared" si="12"/>
        <v>0</v>
      </c>
      <c r="E326" s="789">
        <f t="shared" si="17"/>
        <v>0</v>
      </c>
      <c r="F326" s="736">
        <f t="shared" si="13"/>
        <v>0</v>
      </c>
      <c r="G326" s="794">
        <f t="shared" si="14"/>
        <v>0</v>
      </c>
      <c r="H326" s="795">
        <f t="shared" si="15"/>
        <v>0</v>
      </c>
      <c r="I326" s="792">
        <f t="shared" si="16"/>
        <v>0</v>
      </c>
      <c r="J326" s="792"/>
      <c r="K326" s="812"/>
      <c r="L326" s="796"/>
      <c r="M326" s="812"/>
      <c r="N326" s="796"/>
      <c r="O326" s="796"/>
    </row>
    <row r="327" spans="3:15">
      <c r="C327" s="788">
        <f>IF(D275="","-",+C326+1)</f>
        <v>2060</v>
      </c>
      <c r="D327" s="736">
        <f t="shared" si="12"/>
        <v>0</v>
      </c>
      <c r="E327" s="789">
        <f t="shared" si="17"/>
        <v>0</v>
      </c>
      <c r="F327" s="736">
        <f t="shared" si="13"/>
        <v>0</v>
      </c>
      <c r="G327" s="794">
        <f t="shared" si="14"/>
        <v>0</v>
      </c>
      <c r="H327" s="795">
        <f t="shared" si="15"/>
        <v>0</v>
      </c>
      <c r="I327" s="792">
        <f t="shared" si="16"/>
        <v>0</v>
      </c>
      <c r="J327" s="792"/>
      <c r="K327" s="812"/>
      <c r="L327" s="796"/>
      <c r="M327" s="812"/>
      <c r="N327" s="796"/>
      <c r="O327" s="796"/>
    </row>
    <row r="328" spans="3:15">
      <c r="C328" s="788">
        <f>IF(D275="","-",+C327+1)</f>
        <v>2061</v>
      </c>
      <c r="D328" s="736">
        <f t="shared" si="12"/>
        <v>0</v>
      </c>
      <c r="E328" s="789">
        <f t="shared" si="17"/>
        <v>0</v>
      </c>
      <c r="F328" s="736">
        <f t="shared" si="13"/>
        <v>0</v>
      </c>
      <c r="G328" s="794">
        <f t="shared" si="14"/>
        <v>0</v>
      </c>
      <c r="H328" s="795">
        <f t="shared" si="15"/>
        <v>0</v>
      </c>
      <c r="I328" s="792">
        <f t="shared" si="16"/>
        <v>0</v>
      </c>
      <c r="J328" s="792"/>
      <c r="K328" s="812"/>
      <c r="L328" s="796"/>
      <c r="M328" s="812"/>
      <c r="N328" s="796"/>
      <c r="O328" s="796"/>
    </row>
    <row r="329" spans="3:15">
      <c r="C329" s="788">
        <f>IF(D275="","-",+C328+1)</f>
        <v>2062</v>
      </c>
      <c r="D329" s="736">
        <f t="shared" si="12"/>
        <v>0</v>
      </c>
      <c r="E329" s="789">
        <f t="shared" si="17"/>
        <v>0</v>
      </c>
      <c r="F329" s="736">
        <f t="shared" si="13"/>
        <v>0</v>
      </c>
      <c r="G329" s="794">
        <f t="shared" si="14"/>
        <v>0</v>
      </c>
      <c r="H329" s="795">
        <f t="shared" si="15"/>
        <v>0</v>
      </c>
      <c r="I329" s="792">
        <f t="shared" si="16"/>
        <v>0</v>
      </c>
      <c r="J329" s="792"/>
      <c r="K329" s="812"/>
      <c r="L329" s="796"/>
      <c r="M329" s="812"/>
      <c r="N329" s="796"/>
      <c r="O329" s="796"/>
    </row>
    <row r="330" spans="3:15">
      <c r="C330" s="788">
        <f>IF(D275="","-",+C329+1)</f>
        <v>2063</v>
      </c>
      <c r="D330" s="736">
        <f t="shared" si="12"/>
        <v>0</v>
      </c>
      <c r="E330" s="789">
        <f t="shared" si="17"/>
        <v>0</v>
      </c>
      <c r="F330" s="736">
        <f t="shared" si="13"/>
        <v>0</v>
      </c>
      <c r="G330" s="794">
        <f t="shared" si="14"/>
        <v>0</v>
      </c>
      <c r="H330" s="795">
        <f t="shared" si="15"/>
        <v>0</v>
      </c>
      <c r="I330" s="792">
        <f t="shared" si="16"/>
        <v>0</v>
      </c>
      <c r="J330" s="792"/>
      <c r="K330" s="812"/>
      <c r="L330" s="796"/>
      <c r="M330" s="812"/>
      <c r="N330" s="796"/>
      <c r="O330" s="796"/>
    </row>
    <row r="331" spans="3:15">
      <c r="C331" s="788">
        <f>IF(D275="","-",+C330+1)</f>
        <v>2064</v>
      </c>
      <c r="D331" s="736">
        <f t="shared" si="12"/>
        <v>0</v>
      </c>
      <c r="E331" s="789">
        <f t="shared" si="17"/>
        <v>0</v>
      </c>
      <c r="F331" s="736">
        <f t="shared" si="13"/>
        <v>0</v>
      </c>
      <c r="G331" s="794">
        <f t="shared" si="14"/>
        <v>0</v>
      </c>
      <c r="H331" s="795">
        <f t="shared" si="15"/>
        <v>0</v>
      </c>
      <c r="I331" s="792">
        <f t="shared" si="16"/>
        <v>0</v>
      </c>
      <c r="J331" s="792"/>
      <c r="K331" s="812"/>
      <c r="L331" s="796"/>
      <c r="M331" s="812"/>
      <c r="N331" s="796"/>
      <c r="O331" s="796"/>
    </row>
    <row r="332" spans="3:15">
      <c r="C332" s="788">
        <f>IF(D275="","-",+C331+1)</f>
        <v>2065</v>
      </c>
      <c r="D332" s="736">
        <f t="shared" si="12"/>
        <v>0</v>
      </c>
      <c r="E332" s="789">
        <f t="shared" si="17"/>
        <v>0</v>
      </c>
      <c r="F332" s="736">
        <f t="shared" si="13"/>
        <v>0</v>
      </c>
      <c r="G332" s="794">
        <f t="shared" si="14"/>
        <v>0</v>
      </c>
      <c r="H332" s="795">
        <f t="shared" si="15"/>
        <v>0</v>
      </c>
      <c r="I332" s="792">
        <f t="shared" si="16"/>
        <v>0</v>
      </c>
      <c r="J332" s="792"/>
      <c r="K332" s="812"/>
      <c r="L332" s="796"/>
      <c r="M332" s="812"/>
      <c r="N332" s="796"/>
      <c r="O332" s="796"/>
    </row>
    <row r="333" spans="3:15">
      <c r="C333" s="788">
        <f>IF(D275="","-",+C332+1)</f>
        <v>2066</v>
      </c>
      <c r="D333" s="736">
        <f t="shared" si="12"/>
        <v>0</v>
      </c>
      <c r="E333" s="789">
        <f t="shared" si="17"/>
        <v>0</v>
      </c>
      <c r="F333" s="736">
        <f t="shared" si="13"/>
        <v>0</v>
      </c>
      <c r="G333" s="794">
        <f t="shared" si="14"/>
        <v>0</v>
      </c>
      <c r="H333" s="795">
        <f t="shared" si="15"/>
        <v>0</v>
      </c>
      <c r="I333" s="792">
        <f t="shared" si="16"/>
        <v>0</v>
      </c>
      <c r="J333" s="792"/>
      <c r="K333" s="812"/>
      <c r="L333" s="796"/>
      <c r="M333" s="812"/>
      <c r="N333" s="796"/>
      <c r="O333" s="796"/>
    </row>
    <row r="334" spans="3:15">
      <c r="C334" s="788">
        <f>IF(D275="","-",+C333+1)</f>
        <v>2067</v>
      </c>
      <c r="D334" s="736">
        <f t="shared" si="12"/>
        <v>0</v>
      </c>
      <c r="E334" s="789">
        <f t="shared" si="17"/>
        <v>0</v>
      </c>
      <c r="F334" s="736">
        <f t="shared" si="13"/>
        <v>0</v>
      </c>
      <c r="G334" s="794">
        <f t="shared" si="14"/>
        <v>0</v>
      </c>
      <c r="H334" s="795">
        <f t="shared" si="15"/>
        <v>0</v>
      </c>
      <c r="I334" s="792">
        <f t="shared" si="16"/>
        <v>0</v>
      </c>
      <c r="J334" s="792"/>
      <c r="K334" s="812"/>
      <c r="L334" s="796"/>
      <c r="M334" s="812"/>
      <c r="N334" s="796"/>
      <c r="O334" s="796"/>
    </row>
    <row r="335" spans="3:15">
      <c r="C335" s="788">
        <f>IF(D275="","-",+C334+1)</f>
        <v>2068</v>
      </c>
      <c r="D335" s="736">
        <f t="shared" si="12"/>
        <v>0</v>
      </c>
      <c r="E335" s="789">
        <f t="shared" si="17"/>
        <v>0</v>
      </c>
      <c r="F335" s="736">
        <f t="shared" si="13"/>
        <v>0</v>
      </c>
      <c r="G335" s="794">
        <f t="shared" si="14"/>
        <v>0</v>
      </c>
      <c r="H335" s="795">
        <f t="shared" si="15"/>
        <v>0</v>
      </c>
      <c r="I335" s="792">
        <f t="shared" si="16"/>
        <v>0</v>
      </c>
      <c r="J335" s="792"/>
      <c r="K335" s="812"/>
      <c r="L335" s="796"/>
      <c r="M335" s="812"/>
      <c r="N335" s="796"/>
      <c r="O335" s="796"/>
    </row>
    <row r="336" spans="3:15">
      <c r="C336" s="788">
        <f>IF(D275="","-",+C335+1)</f>
        <v>2069</v>
      </c>
      <c r="D336" s="736">
        <f t="shared" si="12"/>
        <v>0</v>
      </c>
      <c r="E336" s="789">
        <f t="shared" si="17"/>
        <v>0</v>
      </c>
      <c r="F336" s="736">
        <f t="shared" si="13"/>
        <v>0</v>
      </c>
      <c r="G336" s="794">
        <f t="shared" si="14"/>
        <v>0</v>
      </c>
      <c r="H336" s="795">
        <f t="shared" si="15"/>
        <v>0</v>
      </c>
      <c r="I336" s="792">
        <f t="shared" si="16"/>
        <v>0</v>
      </c>
      <c r="J336" s="792"/>
      <c r="K336" s="812"/>
      <c r="L336" s="796"/>
      <c r="M336" s="812"/>
      <c r="N336" s="796"/>
      <c r="O336" s="796"/>
    </row>
    <row r="337" spans="1:16">
      <c r="C337" s="788">
        <f>IF(D275="","-",+C336+1)</f>
        <v>2070</v>
      </c>
      <c r="D337" s="736">
        <f t="shared" si="12"/>
        <v>0</v>
      </c>
      <c r="E337" s="789">
        <f t="shared" si="17"/>
        <v>0</v>
      </c>
      <c r="F337" s="736">
        <f t="shared" si="13"/>
        <v>0</v>
      </c>
      <c r="G337" s="794">
        <f t="shared" si="14"/>
        <v>0</v>
      </c>
      <c r="H337" s="795">
        <f t="shared" si="15"/>
        <v>0</v>
      </c>
      <c r="I337" s="792">
        <f t="shared" si="16"/>
        <v>0</v>
      </c>
      <c r="J337" s="792"/>
      <c r="K337" s="812"/>
      <c r="L337" s="796"/>
      <c r="M337" s="812"/>
      <c r="N337" s="796"/>
      <c r="O337" s="796"/>
    </row>
    <row r="338" spans="1:16">
      <c r="C338" s="788">
        <f>IF(D275="","-",+C337+1)</f>
        <v>2071</v>
      </c>
      <c r="D338" s="736">
        <f t="shared" si="12"/>
        <v>0</v>
      </c>
      <c r="E338" s="789">
        <f t="shared" si="17"/>
        <v>0</v>
      </c>
      <c r="F338" s="736">
        <f t="shared" si="13"/>
        <v>0</v>
      </c>
      <c r="G338" s="794">
        <f t="shared" si="14"/>
        <v>0</v>
      </c>
      <c r="H338" s="795">
        <f t="shared" si="15"/>
        <v>0</v>
      </c>
      <c r="I338" s="792">
        <f t="shared" si="16"/>
        <v>0</v>
      </c>
      <c r="J338" s="792"/>
      <c r="K338" s="812"/>
      <c r="L338" s="796"/>
      <c r="M338" s="812"/>
      <c r="N338" s="796"/>
      <c r="O338" s="796"/>
    </row>
    <row r="339" spans="1:16">
      <c r="C339" s="788">
        <f>IF(D275="","-",+C338+1)</f>
        <v>2072</v>
      </c>
      <c r="D339" s="736">
        <f t="shared" si="12"/>
        <v>0</v>
      </c>
      <c r="E339" s="789">
        <f t="shared" si="17"/>
        <v>0</v>
      </c>
      <c r="F339" s="736">
        <f t="shared" si="13"/>
        <v>0</v>
      </c>
      <c r="G339" s="794">
        <f t="shared" si="14"/>
        <v>0</v>
      </c>
      <c r="H339" s="795">
        <f t="shared" si="15"/>
        <v>0</v>
      </c>
      <c r="I339" s="792">
        <f t="shared" si="16"/>
        <v>0</v>
      </c>
      <c r="J339" s="792"/>
      <c r="K339" s="812"/>
      <c r="L339" s="796"/>
      <c r="M339" s="812"/>
      <c r="N339" s="796"/>
      <c r="O339" s="796"/>
    </row>
    <row r="340" spans="1:16" ht="13.5" thickBot="1">
      <c r="C340" s="798">
        <f>IF(D275="","-",+C339+1)</f>
        <v>2073</v>
      </c>
      <c r="D340" s="799">
        <f t="shared" si="12"/>
        <v>0</v>
      </c>
      <c r="E340" s="800">
        <f t="shared" si="17"/>
        <v>0</v>
      </c>
      <c r="F340" s="799">
        <f t="shared" si="13"/>
        <v>0</v>
      </c>
      <c r="G340" s="801">
        <f t="shared" si="14"/>
        <v>0</v>
      </c>
      <c r="H340" s="801">
        <f t="shared" si="15"/>
        <v>0</v>
      </c>
      <c r="I340" s="802">
        <f t="shared" si="16"/>
        <v>0</v>
      </c>
      <c r="J340" s="792"/>
      <c r="K340" s="813"/>
      <c r="L340" s="803"/>
      <c r="M340" s="813"/>
      <c r="N340" s="803"/>
      <c r="O340" s="803"/>
    </row>
    <row r="341" spans="1:16">
      <c r="C341" s="736" t="s">
        <v>83</v>
      </c>
      <c r="D341" s="730"/>
      <c r="E341" s="730">
        <f>SUM(E281:E340)</f>
        <v>19597955.440000005</v>
      </c>
      <c r="F341" s="730"/>
      <c r="G341" s="730">
        <f>SUM(G281:G340)</f>
        <v>63961049.427119851</v>
      </c>
      <c r="H341" s="730">
        <f>SUM(H281:H340)</f>
        <v>63961049.427119851</v>
      </c>
      <c r="I341" s="730">
        <f>SUM(I281:I340)</f>
        <v>0</v>
      </c>
      <c r="J341" s="730"/>
      <c r="K341" s="730"/>
      <c r="L341" s="730"/>
      <c r="M341" s="730"/>
      <c r="N341" s="730"/>
      <c r="O341" s="314"/>
    </row>
    <row r="342" spans="1:16">
      <c r="D342" s="538"/>
      <c r="E342" s="314"/>
      <c r="F342" s="314"/>
      <c r="G342" s="314"/>
      <c r="H342" s="708"/>
      <c r="I342" s="708"/>
      <c r="J342" s="730"/>
      <c r="K342" s="708"/>
      <c r="L342" s="708"/>
      <c r="M342" s="708"/>
      <c r="N342" s="708"/>
      <c r="O342" s="314"/>
    </row>
    <row r="343" spans="1:16">
      <c r="C343" s="314" t="s">
        <v>13</v>
      </c>
      <c r="D343" s="538"/>
      <c r="E343" s="314"/>
      <c r="F343" s="314"/>
      <c r="G343" s="314"/>
      <c r="H343" s="708"/>
      <c r="I343" s="708"/>
      <c r="J343" s="730"/>
      <c r="K343" s="708"/>
      <c r="L343" s="708"/>
      <c r="M343" s="708"/>
      <c r="N343" s="708"/>
      <c r="O343" s="314"/>
    </row>
    <row r="344" spans="1:16">
      <c r="C344" s="314"/>
      <c r="D344" s="538"/>
      <c r="E344" s="314"/>
      <c r="F344" s="314"/>
      <c r="G344" s="314"/>
      <c r="H344" s="708"/>
      <c r="I344" s="708"/>
      <c r="J344" s="730"/>
      <c r="K344" s="708"/>
      <c r="L344" s="708"/>
      <c r="M344" s="708"/>
      <c r="N344" s="708"/>
      <c r="O344" s="314"/>
    </row>
    <row r="345" spans="1:16">
      <c r="C345" s="749" t="s">
        <v>14</v>
      </c>
      <c r="D345" s="736"/>
      <c r="E345" s="736"/>
      <c r="F345" s="736"/>
      <c r="G345" s="730"/>
      <c r="H345" s="730"/>
      <c r="I345" s="804"/>
      <c r="J345" s="804"/>
      <c r="K345" s="804"/>
      <c r="L345" s="804"/>
      <c r="M345" s="804"/>
      <c r="N345" s="804"/>
      <c r="O345" s="314"/>
    </row>
    <row r="346" spans="1:16">
      <c r="C346" s="735" t="s">
        <v>263</v>
      </c>
      <c r="D346" s="736"/>
      <c r="E346" s="736"/>
      <c r="F346" s="736"/>
      <c r="G346" s="730"/>
      <c r="H346" s="730"/>
      <c r="I346" s="804"/>
      <c r="J346" s="804"/>
      <c r="K346" s="804"/>
      <c r="L346" s="804"/>
      <c r="M346" s="804"/>
      <c r="N346" s="804"/>
      <c r="O346" s="314"/>
    </row>
    <row r="347" spans="1:16">
      <c r="C347" s="735" t="s">
        <v>84</v>
      </c>
      <c r="D347" s="736"/>
      <c r="E347" s="736"/>
      <c r="F347" s="736"/>
      <c r="G347" s="730"/>
      <c r="H347" s="730"/>
      <c r="I347" s="804"/>
      <c r="J347" s="804"/>
      <c r="K347" s="804"/>
      <c r="L347" s="804"/>
      <c r="M347" s="804"/>
      <c r="N347" s="804"/>
      <c r="O347" s="314"/>
    </row>
    <row r="348" spans="1:16">
      <c r="C348" s="735"/>
      <c r="D348" s="736"/>
      <c r="E348" s="736"/>
      <c r="F348" s="736"/>
      <c r="G348" s="730"/>
      <c r="H348" s="730"/>
      <c r="I348" s="804"/>
      <c r="J348" s="804"/>
      <c r="K348" s="804"/>
      <c r="L348" s="804"/>
      <c r="M348" s="804"/>
      <c r="N348" s="804"/>
      <c r="O348" s="314"/>
    </row>
    <row r="349" spans="1:16">
      <c r="C349" s="1526" t="s">
        <v>6</v>
      </c>
      <c r="D349" s="1526"/>
      <c r="E349" s="1526"/>
      <c r="F349" s="1526"/>
      <c r="G349" s="1526"/>
      <c r="H349" s="1526"/>
      <c r="I349" s="1526"/>
      <c r="J349" s="1526"/>
      <c r="K349" s="1526"/>
      <c r="L349" s="1526"/>
      <c r="M349" s="1526"/>
      <c r="N349" s="1526"/>
      <c r="O349" s="1526"/>
    </row>
    <row r="350" spans="1:16">
      <c r="C350" s="1526"/>
      <c r="D350" s="1526"/>
      <c r="E350" s="1526"/>
      <c r="F350" s="1526"/>
      <c r="G350" s="1526"/>
      <c r="H350" s="1526"/>
      <c r="I350" s="1526"/>
      <c r="J350" s="1526"/>
      <c r="K350" s="1526"/>
      <c r="L350" s="1526"/>
      <c r="M350" s="1526"/>
      <c r="N350" s="1526"/>
      <c r="O350" s="1526"/>
    </row>
    <row r="351" spans="1:16">
      <c r="C351" s="735"/>
      <c r="D351" s="736"/>
      <c r="E351" s="736"/>
      <c r="F351" s="736"/>
      <c r="G351" s="730"/>
      <c r="H351" s="730"/>
    </row>
    <row r="352" spans="1:16" ht="20.25">
      <c r="A352" s="737" t="str">
        <f>""&amp;A276&amp;" Worksheet J -  ATRR PROJECTED Calculation for PJM Projects Charged to Benefiting Zones"</f>
        <v xml:space="preserve"> Worksheet J -  ATRR PROJECTED Calculation for PJM Projects Charged to Benefiting Zones</v>
      </c>
      <c r="B352" s="348"/>
      <c r="C352" s="725"/>
      <c r="D352" s="538"/>
      <c r="E352" s="314"/>
      <c r="F352" s="707"/>
      <c r="G352" s="314"/>
      <c r="H352" s="708"/>
      <c r="K352" s="564"/>
      <c r="L352" s="564"/>
      <c r="M352" s="564"/>
      <c r="N352" s="653" t="str">
        <f>"Page "&amp;SUM(P$8:P352)&amp;" of "</f>
        <v xml:space="preserve">Page 5 of </v>
      </c>
      <c r="O352" s="654">
        <f>COUNT(P$8:P$56653)</f>
        <v>12</v>
      </c>
      <c r="P352" s="738">
        <v>1</v>
      </c>
    </row>
    <row r="353" spans="2:16">
      <c r="B353" s="348"/>
      <c r="C353" s="314"/>
      <c r="D353" s="538"/>
      <c r="E353" s="314"/>
      <c r="F353" s="314"/>
      <c r="G353" s="314"/>
      <c r="H353" s="708"/>
      <c r="I353" s="314"/>
      <c r="J353" s="427"/>
      <c r="K353" s="314"/>
      <c r="L353" s="314"/>
      <c r="M353" s="314"/>
      <c r="N353" s="314"/>
      <c r="O353" s="314"/>
      <c r="P353" s="427"/>
    </row>
    <row r="354" spans="2:16" ht="18">
      <c r="B354" s="657" t="s">
        <v>464</v>
      </c>
      <c r="C354" s="739" t="s">
        <v>85</v>
      </c>
      <c r="D354" s="538"/>
      <c r="E354" s="314"/>
      <c r="F354" s="314"/>
      <c r="G354" s="314"/>
      <c r="H354" s="708"/>
      <c r="I354" s="708"/>
      <c r="J354" s="730"/>
      <c r="K354" s="708"/>
      <c r="L354" s="708"/>
      <c r="M354" s="708"/>
      <c r="N354" s="708"/>
      <c r="O354" s="314"/>
    </row>
    <row r="355" spans="2:16" ht="18.75">
      <c r="B355" s="657"/>
      <c r="C355" s="656"/>
      <c r="D355" s="538"/>
      <c r="E355" s="314"/>
      <c r="F355" s="314"/>
      <c r="G355" s="314"/>
      <c r="H355" s="708"/>
      <c r="I355" s="708"/>
      <c r="J355" s="730"/>
      <c r="K355" s="708"/>
      <c r="L355" s="708"/>
      <c r="M355" s="708"/>
      <c r="N355" s="708"/>
      <c r="O355" s="314"/>
    </row>
    <row r="356" spans="2:16" ht="18.75">
      <c r="B356" s="657"/>
      <c r="C356" s="656" t="s">
        <v>86</v>
      </c>
      <c r="D356" s="538"/>
      <c r="E356" s="314"/>
      <c r="F356" s="314"/>
      <c r="G356" s="314"/>
      <c r="H356" s="708"/>
      <c r="I356" s="708"/>
      <c r="J356" s="730"/>
      <c r="K356" s="708"/>
      <c r="L356" s="708"/>
      <c r="M356" s="708"/>
      <c r="N356" s="708"/>
      <c r="O356" s="314"/>
    </row>
    <row r="357" spans="2:16" ht="15.75" thickBot="1">
      <c r="C357" s="240"/>
      <c r="D357" s="538"/>
      <c r="E357" s="314"/>
      <c r="F357" s="314"/>
      <c r="G357" s="314"/>
      <c r="H357" s="708"/>
      <c r="I357" s="708"/>
      <c r="J357" s="730"/>
      <c r="K357" s="708"/>
      <c r="L357" s="708"/>
      <c r="M357" s="708"/>
      <c r="N357" s="708"/>
      <c r="O357" s="314"/>
    </row>
    <row r="358" spans="2:16" ht="15.75">
      <c r="C358" s="659" t="s">
        <v>87</v>
      </c>
      <c r="D358" s="538"/>
      <c r="E358" s="314"/>
      <c r="F358" s="314"/>
      <c r="G358" s="806"/>
      <c r="H358" s="314" t="s">
        <v>66</v>
      </c>
      <c r="I358" s="314"/>
      <c r="J358" s="427"/>
      <c r="K358" s="740" t="s">
        <v>91</v>
      </c>
      <c r="L358" s="741"/>
      <c r="M358" s="742"/>
      <c r="N358" s="743">
        <f>IF(I364=0,0,VLOOKUP(I364,C371:O430,5))</f>
        <v>6219889.1215112656</v>
      </c>
      <c r="O358" s="314"/>
    </row>
    <row r="359" spans="2:16" ht="15.75">
      <c r="C359" s="659"/>
      <c r="D359" s="538"/>
      <c r="E359" s="314"/>
      <c r="F359" s="314"/>
      <c r="G359" s="314"/>
      <c r="H359" s="744"/>
      <c r="I359" s="744"/>
      <c r="J359" s="745"/>
      <c r="K359" s="746" t="s">
        <v>92</v>
      </c>
      <c r="L359" s="747"/>
      <c r="M359" s="427"/>
      <c r="N359" s="748">
        <f>IF(I364=0,0,VLOOKUP(I364,C371:O430,6))</f>
        <v>6219889.1215112656</v>
      </c>
      <c r="O359" s="314"/>
    </row>
    <row r="360" spans="2:16" ht="13.5" customHeight="1" thickBot="1">
      <c r="C360" s="749" t="s">
        <v>88</v>
      </c>
      <c r="D360" s="1527" t="s">
        <v>813</v>
      </c>
      <c r="E360" s="1527"/>
      <c r="F360" s="1527"/>
      <c r="G360" s="1527"/>
      <c r="H360" s="1527"/>
      <c r="I360" s="1527"/>
      <c r="J360" s="730"/>
      <c r="K360" s="750" t="s">
        <v>230</v>
      </c>
      <c r="L360" s="751"/>
      <c r="M360" s="751"/>
      <c r="N360" s="752">
        <f>+N359-N358</f>
        <v>0</v>
      </c>
      <c r="O360" s="314"/>
    </row>
    <row r="361" spans="2:16">
      <c r="C361" s="753"/>
      <c r="D361" s="1527"/>
      <c r="E361" s="1527"/>
      <c r="F361" s="1527"/>
      <c r="G361" s="1527"/>
      <c r="H361" s="1527"/>
      <c r="I361" s="1527"/>
      <c r="J361" s="730"/>
      <c r="K361" s="708"/>
      <c r="L361" s="708"/>
      <c r="M361" s="708"/>
      <c r="N361" s="708"/>
      <c r="O361" s="314"/>
    </row>
    <row r="362" spans="2:16" ht="13.5" thickBot="1">
      <c r="C362" s="756"/>
      <c r="D362" s="757"/>
      <c r="E362" s="755"/>
      <c r="F362" s="755"/>
      <c r="G362" s="755"/>
      <c r="H362" s="755"/>
      <c r="I362" s="755"/>
      <c r="J362" s="758"/>
      <c r="K362" s="755"/>
      <c r="L362" s="755"/>
      <c r="M362" s="755"/>
      <c r="N362" s="755"/>
      <c r="O362" s="348"/>
    </row>
    <row r="363" spans="2:16" ht="13.5" thickBot="1">
      <c r="C363" s="759" t="s">
        <v>89</v>
      </c>
      <c r="D363" s="760"/>
      <c r="E363" s="760"/>
      <c r="F363" s="760"/>
      <c r="G363" s="760"/>
      <c r="H363" s="760"/>
      <c r="I363" s="761"/>
      <c r="J363" s="762"/>
      <c r="K363" s="314"/>
      <c r="L363" s="314"/>
      <c r="M363" s="314"/>
      <c r="N363" s="314"/>
      <c r="O363" s="763"/>
    </row>
    <row r="364" spans="2:16" ht="15">
      <c r="C364" s="764" t="s">
        <v>67</v>
      </c>
      <c r="D364" s="808">
        <v>56691967.569999993</v>
      </c>
      <c r="E364" s="725" t="s">
        <v>68</v>
      </c>
      <c r="G364" s="765"/>
      <c r="H364" s="765"/>
      <c r="I364" s="766">
        <f>$L$26</f>
        <v>2025</v>
      </c>
      <c r="J364" s="554"/>
      <c r="K364" s="1528" t="s">
        <v>239</v>
      </c>
      <c r="L364" s="1528"/>
      <c r="M364" s="1528"/>
      <c r="N364" s="1528"/>
      <c r="O364" s="1528"/>
    </row>
    <row r="365" spans="2:16">
      <c r="C365" s="764" t="s">
        <v>70</v>
      </c>
      <c r="D365" s="809">
        <v>2015</v>
      </c>
      <c r="E365" s="764" t="s">
        <v>71</v>
      </c>
      <c r="F365" s="765"/>
      <c r="H365" s="173"/>
      <c r="I365" s="810">
        <f>IF(G358="",0,$F$17)</f>
        <v>0</v>
      </c>
      <c r="J365" s="767"/>
      <c r="K365" s="730" t="s">
        <v>239</v>
      </c>
    </row>
    <row r="366" spans="2:16">
      <c r="C366" s="764" t="s">
        <v>72</v>
      </c>
      <c r="D366" s="808">
        <v>6</v>
      </c>
      <c r="E366" s="764" t="s">
        <v>73</v>
      </c>
      <c r="F366" s="765"/>
      <c r="H366" s="173"/>
      <c r="I366" s="768">
        <f>$G$70</f>
        <v>0.11318296473052861</v>
      </c>
      <c r="J366" s="769"/>
      <c r="K366" s="173" t="str">
        <f>"          INPUT PROJECTED ARR (WITH &amp; WITHOUT INCENTIVES) FROM EACH PRIOR YEAR"</f>
        <v xml:space="preserve">          INPUT PROJECTED ARR (WITH &amp; WITHOUT INCENTIVES) FROM EACH PRIOR YEAR</v>
      </c>
    </row>
    <row r="367" spans="2:16">
      <c r="C367" s="764" t="s">
        <v>74</v>
      </c>
      <c r="D367" s="770">
        <f>$G$79</f>
        <v>38</v>
      </c>
      <c r="E367" s="764" t="s">
        <v>75</v>
      </c>
      <c r="F367" s="765"/>
      <c r="H367" s="173"/>
      <c r="I367" s="768">
        <f>IF(G358="",I366,$G$69)</f>
        <v>0.11318296473052861</v>
      </c>
      <c r="J367" s="771"/>
      <c r="K367" s="173" t="s">
        <v>152</v>
      </c>
    </row>
    <row r="368" spans="2:16" ht="13.5" thickBot="1">
      <c r="C368" s="764" t="s">
        <v>76</v>
      </c>
      <c r="D368" s="807" t="s">
        <v>810</v>
      </c>
      <c r="E368" s="772" t="s">
        <v>77</v>
      </c>
      <c r="F368" s="773"/>
      <c r="G368" s="774"/>
      <c r="H368" s="774"/>
      <c r="I368" s="752">
        <f>IF(D364=0,0,D364/D367)</f>
        <v>1491893.8834210525</v>
      </c>
      <c r="J368" s="730"/>
      <c r="K368" s="730" t="s">
        <v>158</v>
      </c>
      <c r="L368" s="730"/>
      <c r="M368" s="730"/>
      <c r="N368" s="730"/>
      <c r="O368" s="427"/>
    </row>
    <row r="369" spans="2:15" ht="38.25">
      <c r="B369" s="845"/>
      <c r="C369" s="775" t="s">
        <v>67</v>
      </c>
      <c r="D369" s="776" t="s">
        <v>78</v>
      </c>
      <c r="E369" s="777" t="s">
        <v>79</v>
      </c>
      <c r="F369" s="776" t="s">
        <v>80</v>
      </c>
      <c r="G369" s="777" t="s">
        <v>151</v>
      </c>
      <c r="H369" s="778" t="s">
        <v>151</v>
      </c>
      <c r="I369" s="775" t="s">
        <v>90</v>
      </c>
      <c r="J369" s="779"/>
      <c r="K369" s="777" t="s">
        <v>160</v>
      </c>
      <c r="L369" s="780"/>
      <c r="M369" s="777" t="s">
        <v>160</v>
      </c>
      <c r="N369" s="780"/>
      <c r="O369" s="780"/>
    </row>
    <row r="370" spans="2:15" ht="13.5" thickBot="1">
      <c r="C370" s="781" t="s">
        <v>467</v>
      </c>
      <c r="D370" s="782" t="s">
        <v>468</v>
      </c>
      <c r="E370" s="781" t="s">
        <v>361</v>
      </c>
      <c r="F370" s="782" t="s">
        <v>468</v>
      </c>
      <c r="G370" s="783" t="s">
        <v>93</v>
      </c>
      <c r="H370" s="784" t="s">
        <v>95</v>
      </c>
      <c r="I370" s="785" t="s">
        <v>15</v>
      </c>
      <c r="J370" s="786"/>
      <c r="K370" s="783" t="s">
        <v>82</v>
      </c>
      <c r="L370" s="787"/>
      <c r="M370" s="783" t="s">
        <v>95</v>
      </c>
      <c r="N370" s="787"/>
      <c r="O370" s="787"/>
    </row>
    <row r="371" spans="2:15">
      <c r="C371" s="788">
        <f>IF(D365= "","-",D365)</f>
        <v>2015</v>
      </c>
      <c r="D371" s="736">
        <f>+D364</f>
        <v>56691967.569999993</v>
      </c>
      <c r="E371" s="789">
        <f>+I368/12*(12-D366)</f>
        <v>745946.94171052624</v>
      </c>
      <c r="F371" s="736">
        <f>+D371-E371</f>
        <v>55946020.628289469</v>
      </c>
      <c r="G371" s="999">
        <f>+$I$96*((D371+F371)/2)+E371</f>
        <v>7120297.6644928725</v>
      </c>
      <c r="H371" s="1000">
        <f>$I$97*((D371+F371)/2)+E371</f>
        <v>7120297.6644928725</v>
      </c>
      <c r="I371" s="792">
        <f>+H371-G371</f>
        <v>0</v>
      </c>
      <c r="J371" s="792"/>
      <c r="K371" s="811">
        <v>6946099</v>
      </c>
      <c r="L371" s="793"/>
      <c r="M371" s="811">
        <v>6946099</v>
      </c>
      <c r="N371" s="793"/>
      <c r="O371" s="793"/>
    </row>
    <row r="372" spans="2:15">
      <c r="C372" s="788">
        <f>IF(D365="","-",+C371+1)</f>
        <v>2016</v>
      </c>
      <c r="D372" s="736">
        <f t="shared" ref="D372:D430" si="18">F371</f>
        <v>55946020.628289469</v>
      </c>
      <c r="E372" s="789">
        <f>IF(D372&gt;$I$368,$I$368,D372)</f>
        <v>1491893.8834210525</v>
      </c>
      <c r="F372" s="736">
        <f t="shared" ref="F372:F430" si="19">+D372-E372</f>
        <v>54454126.744868413</v>
      </c>
      <c r="G372" s="794">
        <f t="shared" ref="G372:G430" si="20">+$I$96*((D372+F372)/2)+E372</f>
        <v>7739601.8766116975</v>
      </c>
      <c r="H372" s="795">
        <f t="shared" ref="H372:H430" si="21">$I$97*((D372+F372)/2)+E372</f>
        <v>7739601.8766116975</v>
      </c>
      <c r="I372" s="792">
        <f t="shared" ref="I372:I430" si="22">+H372-G372</f>
        <v>0</v>
      </c>
      <c r="J372" s="792"/>
      <c r="K372" s="812">
        <v>6500748</v>
      </c>
      <c r="L372" s="796"/>
      <c r="M372" s="812">
        <v>6500748</v>
      </c>
      <c r="N372" s="796"/>
      <c r="O372" s="796"/>
    </row>
    <row r="373" spans="2:15">
      <c r="C373" s="788">
        <f>IF(D365="","-",+C372+1)</f>
        <v>2017</v>
      </c>
      <c r="D373" s="736">
        <f t="shared" si="18"/>
        <v>54454126.744868413</v>
      </c>
      <c r="E373" s="789">
        <f t="shared" ref="E373:E430" si="23">IF(D373&gt;$I$368,$I$368,D373)</f>
        <v>1491893.8834210525</v>
      </c>
      <c r="F373" s="736">
        <f t="shared" si="19"/>
        <v>52962232.861447357</v>
      </c>
      <c r="G373" s="794">
        <f t="shared" si="20"/>
        <v>7570744.9038227592</v>
      </c>
      <c r="H373" s="795">
        <f t="shared" si="21"/>
        <v>7570744.9038227592</v>
      </c>
      <c r="I373" s="792">
        <f t="shared" si="22"/>
        <v>0</v>
      </c>
      <c r="J373" s="792"/>
      <c r="K373" s="812">
        <v>7102318</v>
      </c>
      <c r="L373" s="796"/>
      <c r="M373" s="812">
        <v>7102318</v>
      </c>
      <c r="N373" s="796"/>
      <c r="O373" s="796"/>
    </row>
    <row r="374" spans="2:15">
      <c r="C374" s="1315">
        <f>IF(D365="","-",+C373+1)</f>
        <v>2018</v>
      </c>
      <c r="D374" s="736">
        <f t="shared" si="18"/>
        <v>52962232.861447357</v>
      </c>
      <c r="E374" s="789">
        <f t="shared" si="23"/>
        <v>1491893.8834210525</v>
      </c>
      <c r="F374" s="736">
        <f t="shared" si="19"/>
        <v>51470338.978026301</v>
      </c>
      <c r="G374" s="794">
        <f t="shared" si="20"/>
        <v>7401887.9310338236</v>
      </c>
      <c r="H374" s="795">
        <f t="shared" si="21"/>
        <v>7401887.9310338236</v>
      </c>
      <c r="I374" s="792">
        <f t="shared" si="22"/>
        <v>0</v>
      </c>
      <c r="J374" s="792"/>
      <c r="K374" s="812">
        <v>6128227</v>
      </c>
      <c r="L374" s="796"/>
      <c r="M374" s="812">
        <v>6128227</v>
      </c>
      <c r="N374" s="796"/>
      <c r="O374" s="796"/>
    </row>
    <row r="375" spans="2:15">
      <c r="C375" s="1315">
        <f>IF(D365="","-",+C374+1)</f>
        <v>2019</v>
      </c>
      <c r="D375" s="736">
        <f t="shared" si="18"/>
        <v>51470338.978026301</v>
      </c>
      <c r="E375" s="789">
        <f t="shared" si="23"/>
        <v>1491893.8834210525</v>
      </c>
      <c r="F375" s="736">
        <f t="shared" si="19"/>
        <v>49978445.094605245</v>
      </c>
      <c r="G375" s="794">
        <f t="shared" si="20"/>
        <v>7233030.9582448862</v>
      </c>
      <c r="H375" s="795">
        <f t="shared" si="21"/>
        <v>7233030.9582448862</v>
      </c>
      <c r="I375" s="792">
        <f t="shared" si="22"/>
        <v>0</v>
      </c>
      <c r="J375" s="792"/>
      <c r="K375" s="812">
        <v>6583555.7758725211</v>
      </c>
      <c r="L375" s="796"/>
      <c r="M375" s="812">
        <v>6583555.7758725211</v>
      </c>
      <c r="N375" s="796"/>
      <c r="O375" s="796"/>
    </row>
    <row r="376" spans="2:15">
      <c r="C376" s="1315">
        <f>IF(D364="","-",+C375+1)</f>
        <v>2020</v>
      </c>
      <c r="D376" s="736">
        <f t="shared" si="18"/>
        <v>49978445.094605245</v>
      </c>
      <c r="E376" s="789">
        <f t="shared" si="23"/>
        <v>1491893.8834210525</v>
      </c>
      <c r="F376" s="736">
        <f t="shared" si="19"/>
        <v>48486551.211184189</v>
      </c>
      <c r="G376" s="794">
        <f t="shared" si="20"/>
        <v>7064173.9854559498</v>
      </c>
      <c r="H376" s="795">
        <f t="shared" si="21"/>
        <v>7064173.9854559498</v>
      </c>
      <c r="I376" s="792">
        <f t="shared" si="22"/>
        <v>0</v>
      </c>
      <c r="J376" s="792"/>
      <c r="K376" s="812">
        <v>6500519.2814137693</v>
      </c>
      <c r="L376" s="796"/>
      <c r="M376" s="812">
        <v>6500519.2814137693</v>
      </c>
      <c r="N376" s="796"/>
      <c r="O376" s="796"/>
    </row>
    <row r="377" spans="2:15">
      <c r="C377" s="1315">
        <f>IF(D364="","-",+C376+1)</f>
        <v>2021</v>
      </c>
      <c r="D377" s="736">
        <f t="shared" si="18"/>
        <v>48486551.211184189</v>
      </c>
      <c r="E377" s="789">
        <f t="shared" si="23"/>
        <v>1491893.8834210525</v>
      </c>
      <c r="F377" s="736">
        <f t="shared" si="19"/>
        <v>46994657.327763133</v>
      </c>
      <c r="G377" s="794">
        <f t="shared" si="20"/>
        <v>6895317.0126670124</v>
      </c>
      <c r="H377" s="795">
        <f t="shared" si="21"/>
        <v>6895317.0126670124</v>
      </c>
      <c r="I377" s="792">
        <f t="shared" si="22"/>
        <v>0</v>
      </c>
      <c r="J377" s="792"/>
      <c r="K377" s="812">
        <v>6524272.7323046168</v>
      </c>
      <c r="L377" s="796"/>
      <c r="M377" s="812">
        <v>6524272.7323046168</v>
      </c>
      <c r="N377" s="796"/>
      <c r="O377" s="796"/>
    </row>
    <row r="378" spans="2:15">
      <c r="C378" s="1315">
        <f>IF(D365="","-",+C377+1)</f>
        <v>2022</v>
      </c>
      <c r="D378" s="736">
        <f t="shared" si="18"/>
        <v>46994657.327763133</v>
      </c>
      <c r="E378" s="789">
        <f t="shared" si="23"/>
        <v>1491893.8834210525</v>
      </c>
      <c r="F378" s="736">
        <f t="shared" si="19"/>
        <v>45502763.444342077</v>
      </c>
      <c r="G378" s="794">
        <f t="shared" si="20"/>
        <v>6726460.0398780769</v>
      </c>
      <c r="H378" s="795">
        <f t="shared" si="21"/>
        <v>6726460.0398780769</v>
      </c>
      <c r="I378" s="792">
        <f t="shared" si="22"/>
        <v>0</v>
      </c>
      <c r="J378" s="792"/>
      <c r="K378" s="812">
        <v>6503254.2092988743</v>
      </c>
      <c r="L378" s="796"/>
      <c r="M378" s="812">
        <v>6503254.2092988743</v>
      </c>
      <c r="N378" s="796"/>
      <c r="O378" s="796"/>
    </row>
    <row r="379" spans="2:15">
      <c r="C379" s="1315">
        <f>IF(D365="","-",+C378+1)</f>
        <v>2023</v>
      </c>
      <c r="D379" s="736">
        <f t="shared" si="18"/>
        <v>45502763.444342077</v>
      </c>
      <c r="E379" s="789">
        <f t="shared" si="23"/>
        <v>1491893.8834210525</v>
      </c>
      <c r="F379" s="736">
        <f t="shared" si="19"/>
        <v>44010869.560921021</v>
      </c>
      <c r="G379" s="794">
        <f t="shared" si="20"/>
        <v>6557603.0670891395</v>
      </c>
      <c r="H379" s="795">
        <f t="shared" si="21"/>
        <v>6557603.0670891395</v>
      </c>
      <c r="I379" s="792">
        <f t="shared" si="22"/>
        <v>0</v>
      </c>
      <c r="J379" s="792"/>
      <c r="K379" s="812">
        <v>6467275.8937925473</v>
      </c>
      <c r="L379" s="796"/>
      <c r="M379" s="812">
        <v>6467275.8937925473</v>
      </c>
      <c r="N379" s="796"/>
      <c r="O379" s="796"/>
    </row>
    <row r="380" spans="2:15">
      <c r="C380" s="1433">
        <f>IF(D365="","-",+C379+1)</f>
        <v>2024</v>
      </c>
      <c r="D380" s="736">
        <f t="shared" si="18"/>
        <v>44010869.560921021</v>
      </c>
      <c r="E380" s="789">
        <f t="shared" si="23"/>
        <v>1491893.8834210525</v>
      </c>
      <c r="F380" s="736">
        <f t="shared" si="19"/>
        <v>42518975.677499965</v>
      </c>
      <c r="G380" s="794">
        <f t="shared" si="20"/>
        <v>6388746.094300203</v>
      </c>
      <c r="H380" s="795">
        <f t="shared" si="21"/>
        <v>6388746.094300203</v>
      </c>
      <c r="I380" s="792">
        <f t="shared" si="22"/>
        <v>0</v>
      </c>
      <c r="J380" s="792"/>
      <c r="K380" s="812">
        <v>6428459.2141802972</v>
      </c>
      <c r="L380" s="796"/>
      <c r="M380" s="812">
        <v>6428459.2141802972</v>
      </c>
      <c r="N380" s="796"/>
      <c r="O380" s="796"/>
    </row>
    <row r="381" spans="2:15">
      <c r="C381" s="1311">
        <f>IF(D365="","-",+C380+1)</f>
        <v>2025</v>
      </c>
      <c r="D381" s="736">
        <f t="shared" si="18"/>
        <v>42518975.677499965</v>
      </c>
      <c r="E381" s="789">
        <f t="shared" si="23"/>
        <v>1491893.8834210525</v>
      </c>
      <c r="F381" s="736">
        <f t="shared" si="19"/>
        <v>41027081.794078909</v>
      </c>
      <c r="G381" s="794">
        <f t="shared" si="20"/>
        <v>6219889.1215112656</v>
      </c>
      <c r="H381" s="795">
        <f t="shared" si="21"/>
        <v>6219889.1215112656</v>
      </c>
      <c r="I381" s="792">
        <f t="shared" si="22"/>
        <v>0</v>
      </c>
      <c r="J381" s="792"/>
      <c r="K381" s="812"/>
      <c r="L381" s="796"/>
      <c r="M381" s="812"/>
      <c r="N381" s="796"/>
      <c r="O381" s="796"/>
    </row>
    <row r="382" spans="2:15">
      <c r="C382" s="788">
        <f>IF(D365="","-",+C381+1)</f>
        <v>2026</v>
      </c>
      <c r="D382" s="736">
        <f t="shared" si="18"/>
        <v>41027081.794078909</v>
      </c>
      <c r="E382" s="789">
        <f t="shared" si="23"/>
        <v>1491893.8834210525</v>
      </c>
      <c r="F382" s="736">
        <f t="shared" si="19"/>
        <v>39535187.910657853</v>
      </c>
      <c r="G382" s="794">
        <f t="shared" si="20"/>
        <v>6051032.1487223301</v>
      </c>
      <c r="H382" s="795">
        <f t="shared" si="21"/>
        <v>6051032.1487223301</v>
      </c>
      <c r="I382" s="792">
        <f t="shared" si="22"/>
        <v>0</v>
      </c>
      <c r="J382" s="792"/>
      <c r="K382" s="812"/>
      <c r="L382" s="796"/>
      <c r="M382" s="812"/>
      <c r="N382" s="796"/>
      <c r="O382" s="796"/>
    </row>
    <row r="383" spans="2:15">
      <c r="C383" s="788">
        <f>IF(D365="","-",+C382+1)</f>
        <v>2027</v>
      </c>
      <c r="D383" s="736">
        <f t="shared" si="18"/>
        <v>39535187.910657853</v>
      </c>
      <c r="E383" s="789">
        <f t="shared" si="23"/>
        <v>1491893.8834210525</v>
      </c>
      <c r="F383" s="736">
        <f t="shared" si="19"/>
        <v>38043294.027236797</v>
      </c>
      <c r="G383" s="794">
        <f t="shared" si="20"/>
        <v>5882175.1759333918</v>
      </c>
      <c r="H383" s="795">
        <f t="shared" si="21"/>
        <v>5882175.1759333918</v>
      </c>
      <c r="I383" s="792">
        <f t="shared" si="22"/>
        <v>0</v>
      </c>
      <c r="J383" s="792"/>
      <c r="K383" s="812"/>
      <c r="L383" s="796"/>
      <c r="M383" s="812"/>
      <c r="N383" s="797"/>
      <c r="O383" s="796"/>
    </row>
    <row r="384" spans="2:15">
      <c r="C384" s="788">
        <f>IF(D365="","-",+C383+1)</f>
        <v>2028</v>
      </c>
      <c r="D384" s="736">
        <f t="shared" si="18"/>
        <v>38043294.027236797</v>
      </c>
      <c r="E384" s="789">
        <f t="shared" si="23"/>
        <v>1491893.8834210525</v>
      </c>
      <c r="F384" s="736">
        <f t="shared" si="19"/>
        <v>36551400.143815741</v>
      </c>
      <c r="G384" s="794">
        <f t="shared" si="20"/>
        <v>5713318.2031444563</v>
      </c>
      <c r="H384" s="795">
        <f t="shared" si="21"/>
        <v>5713318.2031444563</v>
      </c>
      <c r="I384" s="792">
        <f t="shared" si="22"/>
        <v>0</v>
      </c>
      <c r="J384" s="792"/>
      <c r="K384" s="812"/>
      <c r="L384" s="796"/>
      <c r="M384" s="812"/>
      <c r="N384" s="796"/>
      <c r="O384" s="796"/>
    </row>
    <row r="385" spans="3:15">
      <c r="C385" s="788">
        <f>IF(D365="","-",+C384+1)</f>
        <v>2029</v>
      </c>
      <c r="D385" s="736">
        <f t="shared" si="18"/>
        <v>36551400.143815741</v>
      </c>
      <c r="E385" s="789">
        <f t="shared" si="23"/>
        <v>1491893.8834210525</v>
      </c>
      <c r="F385" s="736">
        <f t="shared" si="19"/>
        <v>35059506.260394685</v>
      </c>
      <c r="G385" s="794">
        <f t="shared" si="20"/>
        <v>5544461.2303555189</v>
      </c>
      <c r="H385" s="795">
        <f t="shared" si="21"/>
        <v>5544461.2303555189</v>
      </c>
      <c r="I385" s="792">
        <f t="shared" si="22"/>
        <v>0</v>
      </c>
      <c r="J385" s="792"/>
      <c r="K385" s="812"/>
      <c r="L385" s="796"/>
      <c r="M385" s="812"/>
      <c r="N385" s="796"/>
      <c r="O385" s="796"/>
    </row>
    <row r="386" spans="3:15">
      <c r="C386" s="788">
        <f>IF(D365="","-",+C385+1)</f>
        <v>2030</v>
      </c>
      <c r="D386" s="736">
        <f t="shared" si="18"/>
        <v>35059506.260394685</v>
      </c>
      <c r="E386" s="789">
        <f t="shared" si="23"/>
        <v>1491893.8834210525</v>
      </c>
      <c r="F386" s="736">
        <f t="shared" si="19"/>
        <v>33567612.376973629</v>
      </c>
      <c r="G386" s="794">
        <f t="shared" si="20"/>
        <v>5375604.2575665833</v>
      </c>
      <c r="H386" s="795">
        <f t="shared" si="21"/>
        <v>5375604.2575665833</v>
      </c>
      <c r="I386" s="792">
        <f t="shared" si="22"/>
        <v>0</v>
      </c>
      <c r="J386" s="792"/>
      <c r="K386" s="812"/>
      <c r="L386" s="796"/>
      <c r="M386" s="812"/>
      <c r="N386" s="796"/>
      <c r="O386" s="796"/>
    </row>
    <row r="387" spans="3:15">
      <c r="C387" s="788">
        <f>IF(D365="","-",+C386+1)</f>
        <v>2031</v>
      </c>
      <c r="D387" s="736">
        <f t="shared" si="18"/>
        <v>33567612.376973629</v>
      </c>
      <c r="E387" s="789">
        <f t="shared" si="23"/>
        <v>1491893.8834210525</v>
      </c>
      <c r="F387" s="736">
        <f t="shared" si="19"/>
        <v>32075718.493552577</v>
      </c>
      <c r="G387" s="794">
        <f t="shared" si="20"/>
        <v>5206747.284777646</v>
      </c>
      <c r="H387" s="795">
        <f t="shared" si="21"/>
        <v>5206747.284777646</v>
      </c>
      <c r="I387" s="792">
        <f t="shared" si="22"/>
        <v>0</v>
      </c>
      <c r="J387" s="792"/>
      <c r="K387" s="812"/>
      <c r="L387" s="796"/>
      <c r="M387" s="812"/>
      <c r="N387" s="796"/>
      <c r="O387" s="796"/>
    </row>
    <row r="388" spans="3:15">
      <c r="C388" s="788">
        <f>IF(D365="","-",+C387+1)</f>
        <v>2032</v>
      </c>
      <c r="D388" s="736">
        <f t="shared" si="18"/>
        <v>32075718.493552577</v>
      </c>
      <c r="E388" s="789">
        <f t="shared" si="23"/>
        <v>1491893.8834210525</v>
      </c>
      <c r="F388" s="736">
        <f t="shared" si="19"/>
        <v>30583824.610131525</v>
      </c>
      <c r="G388" s="794">
        <f t="shared" si="20"/>
        <v>5037890.3119887095</v>
      </c>
      <c r="H388" s="795">
        <f t="shared" si="21"/>
        <v>5037890.3119887095</v>
      </c>
      <c r="I388" s="792">
        <f t="shared" si="22"/>
        <v>0</v>
      </c>
      <c r="J388" s="792"/>
      <c r="K388" s="812"/>
      <c r="L388" s="796"/>
      <c r="M388" s="812"/>
      <c r="N388" s="796"/>
      <c r="O388" s="796"/>
    </row>
    <row r="389" spans="3:15">
      <c r="C389" s="788">
        <f>IF(D365="","-",+C388+1)</f>
        <v>2033</v>
      </c>
      <c r="D389" s="736">
        <f t="shared" si="18"/>
        <v>30583824.610131525</v>
      </c>
      <c r="E389" s="789">
        <f t="shared" si="23"/>
        <v>1491893.8834210525</v>
      </c>
      <c r="F389" s="736">
        <f t="shared" si="19"/>
        <v>29091930.726710472</v>
      </c>
      <c r="G389" s="794">
        <f t="shared" si="20"/>
        <v>4869033.339199774</v>
      </c>
      <c r="H389" s="795">
        <f t="shared" si="21"/>
        <v>4869033.339199774</v>
      </c>
      <c r="I389" s="792">
        <f t="shared" si="22"/>
        <v>0</v>
      </c>
      <c r="J389" s="792"/>
      <c r="K389" s="812"/>
      <c r="L389" s="796"/>
      <c r="M389" s="812"/>
      <c r="N389" s="796"/>
      <c r="O389" s="796"/>
    </row>
    <row r="390" spans="3:15">
      <c r="C390" s="788">
        <f>IF(D365="","-",+C389+1)</f>
        <v>2034</v>
      </c>
      <c r="D390" s="736">
        <f t="shared" si="18"/>
        <v>29091930.726710472</v>
      </c>
      <c r="E390" s="789">
        <f t="shared" si="23"/>
        <v>1491893.8834210525</v>
      </c>
      <c r="F390" s="736">
        <f t="shared" si="19"/>
        <v>27600036.84328942</v>
      </c>
      <c r="G390" s="794">
        <f t="shared" si="20"/>
        <v>4700176.3664108366</v>
      </c>
      <c r="H390" s="795">
        <f t="shared" si="21"/>
        <v>4700176.3664108366</v>
      </c>
      <c r="I390" s="792">
        <f t="shared" si="22"/>
        <v>0</v>
      </c>
      <c r="J390" s="792"/>
      <c r="K390" s="812"/>
      <c r="L390" s="796"/>
      <c r="M390" s="812"/>
      <c r="N390" s="796"/>
      <c r="O390" s="796"/>
    </row>
    <row r="391" spans="3:15">
      <c r="C391" s="788">
        <f>IF(D365="","-",+C390+1)</f>
        <v>2035</v>
      </c>
      <c r="D391" s="736">
        <f t="shared" si="18"/>
        <v>27600036.84328942</v>
      </c>
      <c r="E391" s="789">
        <f t="shared" si="23"/>
        <v>1491893.8834210525</v>
      </c>
      <c r="F391" s="736">
        <f t="shared" si="19"/>
        <v>26108142.959868368</v>
      </c>
      <c r="G391" s="794">
        <f t="shared" si="20"/>
        <v>4531319.3936219011</v>
      </c>
      <c r="H391" s="795">
        <f t="shared" si="21"/>
        <v>4531319.3936219011</v>
      </c>
      <c r="I391" s="792">
        <f t="shared" si="22"/>
        <v>0</v>
      </c>
      <c r="J391" s="792"/>
      <c r="K391" s="812"/>
      <c r="L391" s="796"/>
      <c r="M391" s="812"/>
      <c r="N391" s="796"/>
      <c r="O391" s="796"/>
    </row>
    <row r="392" spans="3:15">
      <c r="C392" s="788">
        <f>IF(D365="","-",+C391+1)</f>
        <v>2036</v>
      </c>
      <c r="D392" s="736">
        <f t="shared" si="18"/>
        <v>26108142.959868368</v>
      </c>
      <c r="E392" s="789">
        <f t="shared" si="23"/>
        <v>1491893.8834210525</v>
      </c>
      <c r="F392" s="736">
        <f t="shared" si="19"/>
        <v>24616249.076447316</v>
      </c>
      <c r="G392" s="794">
        <f t="shared" si="20"/>
        <v>4362462.4208329646</v>
      </c>
      <c r="H392" s="795">
        <f t="shared" si="21"/>
        <v>4362462.4208329646</v>
      </c>
      <c r="I392" s="792">
        <f t="shared" si="22"/>
        <v>0</v>
      </c>
      <c r="J392" s="792"/>
      <c r="K392" s="812"/>
      <c r="L392" s="796"/>
      <c r="M392" s="812"/>
      <c r="N392" s="796"/>
      <c r="O392" s="796"/>
    </row>
    <row r="393" spans="3:15">
      <c r="C393" s="788">
        <f>IF(D365="","-",+C392+1)</f>
        <v>2037</v>
      </c>
      <c r="D393" s="736">
        <f t="shared" si="18"/>
        <v>24616249.076447316</v>
      </c>
      <c r="E393" s="789">
        <f t="shared" si="23"/>
        <v>1491893.8834210525</v>
      </c>
      <c r="F393" s="736">
        <f t="shared" si="19"/>
        <v>23124355.193026263</v>
      </c>
      <c r="G393" s="794">
        <f t="shared" si="20"/>
        <v>4193605.4480440281</v>
      </c>
      <c r="H393" s="795">
        <f t="shared" si="21"/>
        <v>4193605.4480440281</v>
      </c>
      <c r="I393" s="792">
        <f t="shared" si="22"/>
        <v>0</v>
      </c>
      <c r="J393" s="792"/>
      <c r="K393" s="812"/>
      <c r="L393" s="796"/>
      <c r="M393" s="812"/>
      <c r="N393" s="796"/>
      <c r="O393" s="796"/>
    </row>
    <row r="394" spans="3:15">
      <c r="C394" s="788">
        <f>IF(D365="","-",+C393+1)</f>
        <v>2038</v>
      </c>
      <c r="D394" s="736">
        <f t="shared" si="18"/>
        <v>23124355.193026263</v>
      </c>
      <c r="E394" s="789">
        <f t="shared" si="23"/>
        <v>1491893.8834210525</v>
      </c>
      <c r="F394" s="736">
        <f t="shared" si="19"/>
        <v>21632461.309605211</v>
      </c>
      <c r="G394" s="794">
        <f t="shared" si="20"/>
        <v>4024748.4752550917</v>
      </c>
      <c r="H394" s="795">
        <f t="shared" si="21"/>
        <v>4024748.4752550917</v>
      </c>
      <c r="I394" s="792">
        <f t="shared" si="22"/>
        <v>0</v>
      </c>
      <c r="J394" s="792"/>
      <c r="K394" s="812"/>
      <c r="L394" s="796"/>
      <c r="M394" s="812"/>
      <c r="N394" s="796"/>
      <c r="O394" s="796"/>
    </row>
    <row r="395" spans="3:15">
      <c r="C395" s="788">
        <f>IF(D365="","-",+C394+1)</f>
        <v>2039</v>
      </c>
      <c r="D395" s="736">
        <f t="shared" si="18"/>
        <v>21632461.309605211</v>
      </c>
      <c r="E395" s="789">
        <f t="shared" si="23"/>
        <v>1491893.8834210525</v>
      </c>
      <c r="F395" s="736">
        <f t="shared" si="19"/>
        <v>20140567.426184159</v>
      </c>
      <c r="G395" s="794">
        <f t="shared" si="20"/>
        <v>3855891.5024661561</v>
      </c>
      <c r="H395" s="795">
        <f t="shared" si="21"/>
        <v>3855891.5024661561</v>
      </c>
      <c r="I395" s="792">
        <f t="shared" si="22"/>
        <v>0</v>
      </c>
      <c r="J395" s="792"/>
      <c r="K395" s="812"/>
      <c r="L395" s="796"/>
      <c r="M395" s="812"/>
      <c r="N395" s="796"/>
      <c r="O395" s="796"/>
    </row>
    <row r="396" spans="3:15">
      <c r="C396" s="788">
        <f>IF(D365="","-",+C395+1)</f>
        <v>2040</v>
      </c>
      <c r="D396" s="736">
        <f t="shared" si="18"/>
        <v>20140567.426184159</v>
      </c>
      <c r="E396" s="789">
        <f t="shared" si="23"/>
        <v>1491893.8834210525</v>
      </c>
      <c r="F396" s="736">
        <f t="shared" si="19"/>
        <v>18648673.542763107</v>
      </c>
      <c r="G396" s="794">
        <f t="shared" si="20"/>
        <v>3687034.5296772188</v>
      </c>
      <c r="H396" s="795">
        <f t="shared" si="21"/>
        <v>3687034.5296772188</v>
      </c>
      <c r="I396" s="792">
        <f t="shared" si="22"/>
        <v>0</v>
      </c>
      <c r="J396" s="792"/>
      <c r="K396" s="812"/>
      <c r="L396" s="796"/>
      <c r="M396" s="812"/>
      <c r="N396" s="796"/>
      <c r="O396" s="796"/>
    </row>
    <row r="397" spans="3:15">
      <c r="C397" s="788">
        <f>IF(D365="","-",+C396+1)</f>
        <v>2041</v>
      </c>
      <c r="D397" s="736">
        <f t="shared" si="18"/>
        <v>18648673.542763107</v>
      </c>
      <c r="E397" s="789">
        <f t="shared" si="23"/>
        <v>1491893.8834210525</v>
      </c>
      <c r="F397" s="736">
        <f t="shared" si="19"/>
        <v>17156779.659342054</v>
      </c>
      <c r="G397" s="794">
        <f t="shared" si="20"/>
        <v>3518177.5568882832</v>
      </c>
      <c r="H397" s="795">
        <f t="shared" si="21"/>
        <v>3518177.5568882832</v>
      </c>
      <c r="I397" s="792">
        <f t="shared" si="22"/>
        <v>0</v>
      </c>
      <c r="J397" s="792"/>
      <c r="K397" s="812"/>
      <c r="L397" s="796"/>
      <c r="M397" s="812"/>
      <c r="N397" s="796"/>
      <c r="O397" s="796"/>
    </row>
    <row r="398" spans="3:15">
      <c r="C398" s="788">
        <f>IF(D365="","-",+C397+1)</f>
        <v>2042</v>
      </c>
      <c r="D398" s="736">
        <f t="shared" si="18"/>
        <v>17156779.659342054</v>
      </c>
      <c r="E398" s="789">
        <f t="shared" si="23"/>
        <v>1491893.8834210525</v>
      </c>
      <c r="F398" s="736">
        <f t="shared" si="19"/>
        <v>15664885.775921002</v>
      </c>
      <c r="G398" s="794">
        <f t="shared" si="20"/>
        <v>3349320.5840993468</v>
      </c>
      <c r="H398" s="795">
        <f t="shared" si="21"/>
        <v>3349320.5840993468</v>
      </c>
      <c r="I398" s="792">
        <f t="shared" si="22"/>
        <v>0</v>
      </c>
      <c r="J398" s="792"/>
      <c r="K398" s="812"/>
      <c r="L398" s="796"/>
      <c r="M398" s="812"/>
      <c r="N398" s="796"/>
      <c r="O398" s="796"/>
    </row>
    <row r="399" spans="3:15">
      <c r="C399" s="788">
        <f>IF(D365="","-",+C398+1)</f>
        <v>2043</v>
      </c>
      <c r="D399" s="736">
        <f t="shared" si="18"/>
        <v>15664885.775921002</v>
      </c>
      <c r="E399" s="789">
        <f t="shared" si="23"/>
        <v>1491893.8834210525</v>
      </c>
      <c r="F399" s="736">
        <f t="shared" si="19"/>
        <v>14172991.89249995</v>
      </c>
      <c r="G399" s="790">
        <f t="shared" si="20"/>
        <v>3180463.6113104103</v>
      </c>
      <c r="H399" s="795">
        <f t="shared" si="21"/>
        <v>3180463.6113104103</v>
      </c>
      <c r="I399" s="792">
        <f t="shared" si="22"/>
        <v>0</v>
      </c>
      <c r="J399" s="792"/>
      <c r="K399" s="812"/>
      <c r="L399" s="796"/>
      <c r="M399" s="812"/>
      <c r="N399" s="796"/>
      <c r="O399" s="796"/>
    </row>
    <row r="400" spans="3:15">
      <c r="C400" s="788">
        <f>IF(D365="","-",+C399+1)</f>
        <v>2044</v>
      </c>
      <c r="D400" s="736">
        <f t="shared" si="18"/>
        <v>14172991.89249995</v>
      </c>
      <c r="E400" s="789">
        <f t="shared" si="23"/>
        <v>1491893.8834210525</v>
      </c>
      <c r="F400" s="736">
        <f t="shared" si="19"/>
        <v>12681098.009078898</v>
      </c>
      <c r="G400" s="794">
        <f t="shared" si="20"/>
        <v>3011606.6385214739</v>
      </c>
      <c r="H400" s="795">
        <f t="shared" si="21"/>
        <v>3011606.6385214739</v>
      </c>
      <c r="I400" s="792">
        <f t="shared" si="22"/>
        <v>0</v>
      </c>
      <c r="J400" s="792"/>
      <c r="K400" s="812"/>
      <c r="L400" s="796"/>
      <c r="M400" s="812"/>
      <c r="N400" s="796"/>
      <c r="O400" s="796"/>
    </row>
    <row r="401" spans="3:15">
      <c r="C401" s="788">
        <f>IF(D365="","-",+C400+1)</f>
        <v>2045</v>
      </c>
      <c r="D401" s="736">
        <f t="shared" si="18"/>
        <v>12681098.009078898</v>
      </c>
      <c r="E401" s="789">
        <f t="shared" si="23"/>
        <v>1491893.8834210525</v>
      </c>
      <c r="F401" s="736">
        <f t="shared" si="19"/>
        <v>11189204.125657845</v>
      </c>
      <c r="G401" s="794">
        <f t="shared" si="20"/>
        <v>2842749.6657325374</v>
      </c>
      <c r="H401" s="795">
        <f t="shared" si="21"/>
        <v>2842749.6657325374</v>
      </c>
      <c r="I401" s="792">
        <f t="shared" si="22"/>
        <v>0</v>
      </c>
      <c r="J401" s="792"/>
      <c r="K401" s="812"/>
      <c r="L401" s="796"/>
      <c r="M401" s="812"/>
      <c r="N401" s="796"/>
      <c r="O401" s="796"/>
    </row>
    <row r="402" spans="3:15">
      <c r="C402" s="788">
        <f>IF(D365="","-",+C401+1)</f>
        <v>2046</v>
      </c>
      <c r="D402" s="736">
        <f t="shared" si="18"/>
        <v>11189204.125657845</v>
      </c>
      <c r="E402" s="789">
        <f t="shared" si="23"/>
        <v>1491893.8834210525</v>
      </c>
      <c r="F402" s="736">
        <f t="shared" si="19"/>
        <v>9697310.242236793</v>
      </c>
      <c r="G402" s="794">
        <f t="shared" si="20"/>
        <v>2673892.6929436014</v>
      </c>
      <c r="H402" s="795">
        <f t="shared" si="21"/>
        <v>2673892.6929436014</v>
      </c>
      <c r="I402" s="792">
        <f t="shared" si="22"/>
        <v>0</v>
      </c>
      <c r="J402" s="792"/>
      <c r="K402" s="812"/>
      <c r="L402" s="796"/>
      <c r="M402" s="812"/>
      <c r="N402" s="796"/>
      <c r="O402" s="796"/>
    </row>
    <row r="403" spans="3:15">
      <c r="C403" s="788">
        <f>IF(D365="","-",+C402+1)</f>
        <v>2047</v>
      </c>
      <c r="D403" s="736">
        <f t="shared" si="18"/>
        <v>9697310.242236793</v>
      </c>
      <c r="E403" s="789">
        <f t="shared" si="23"/>
        <v>1491893.8834210525</v>
      </c>
      <c r="F403" s="736">
        <f t="shared" si="19"/>
        <v>8205416.3588157408</v>
      </c>
      <c r="G403" s="794">
        <f t="shared" si="20"/>
        <v>2505035.7201546649</v>
      </c>
      <c r="H403" s="795">
        <f t="shared" si="21"/>
        <v>2505035.7201546649</v>
      </c>
      <c r="I403" s="792">
        <f t="shared" si="22"/>
        <v>0</v>
      </c>
      <c r="J403" s="792"/>
      <c r="K403" s="812"/>
      <c r="L403" s="796"/>
      <c r="M403" s="812"/>
      <c r="N403" s="796"/>
      <c r="O403" s="796"/>
    </row>
    <row r="404" spans="3:15">
      <c r="C404" s="788">
        <f>IF(D365="","-",+C403+1)</f>
        <v>2048</v>
      </c>
      <c r="D404" s="736">
        <f t="shared" si="18"/>
        <v>8205416.3588157408</v>
      </c>
      <c r="E404" s="789">
        <f t="shared" si="23"/>
        <v>1491893.8834210525</v>
      </c>
      <c r="F404" s="736">
        <f t="shared" si="19"/>
        <v>6713522.4753946885</v>
      </c>
      <c r="G404" s="794">
        <f t="shared" si="20"/>
        <v>2336178.747365729</v>
      </c>
      <c r="H404" s="795">
        <f t="shared" si="21"/>
        <v>2336178.747365729</v>
      </c>
      <c r="I404" s="792">
        <f t="shared" si="22"/>
        <v>0</v>
      </c>
      <c r="J404" s="792"/>
      <c r="K404" s="812"/>
      <c r="L404" s="796"/>
      <c r="M404" s="812"/>
      <c r="N404" s="796"/>
      <c r="O404" s="796"/>
    </row>
    <row r="405" spans="3:15">
      <c r="C405" s="788">
        <f>IF(D365="","-",+C404+1)</f>
        <v>2049</v>
      </c>
      <c r="D405" s="736">
        <f t="shared" si="18"/>
        <v>6713522.4753946885</v>
      </c>
      <c r="E405" s="789">
        <f t="shared" si="23"/>
        <v>1491893.8834210525</v>
      </c>
      <c r="F405" s="736">
        <f t="shared" si="19"/>
        <v>5221628.5919736363</v>
      </c>
      <c r="G405" s="794">
        <f t="shared" si="20"/>
        <v>2167321.7745767925</v>
      </c>
      <c r="H405" s="795">
        <f t="shared" si="21"/>
        <v>2167321.7745767925</v>
      </c>
      <c r="I405" s="792">
        <f t="shared" si="22"/>
        <v>0</v>
      </c>
      <c r="J405" s="792"/>
      <c r="K405" s="812"/>
      <c r="L405" s="796"/>
      <c r="M405" s="812"/>
      <c r="N405" s="796"/>
      <c r="O405" s="796"/>
    </row>
    <row r="406" spans="3:15">
      <c r="C406" s="788">
        <f>IF(D365="","-",+C405+1)</f>
        <v>2050</v>
      </c>
      <c r="D406" s="736">
        <f t="shared" si="18"/>
        <v>5221628.5919736363</v>
      </c>
      <c r="E406" s="789">
        <f t="shared" si="23"/>
        <v>1491893.8834210525</v>
      </c>
      <c r="F406" s="736">
        <f t="shared" si="19"/>
        <v>3729734.7085525841</v>
      </c>
      <c r="G406" s="794">
        <f t="shared" si="20"/>
        <v>1998464.801787856</v>
      </c>
      <c r="H406" s="795">
        <f t="shared" si="21"/>
        <v>1998464.801787856</v>
      </c>
      <c r="I406" s="792">
        <f t="shared" si="22"/>
        <v>0</v>
      </c>
      <c r="J406" s="792"/>
      <c r="K406" s="812"/>
      <c r="L406" s="796"/>
      <c r="M406" s="812"/>
      <c r="N406" s="796"/>
      <c r="O406" s="796"/>
    </row>
    <row r="407" spans="3:15">
      <c r="C407" s="788">
        <f>IF(D365="","-",+C406+1)</f>
        <v>2051</v>
      </c>
      <c r="D407" s="736">
        <f t="shared" si="18"/>
        <v>3729734.7085525841</v>
      </c>
      <c r="E407" s="789">
        <f t="shared" si="23"/>
        <v>1491893.8834210525</v>
      </c>
      <c r="F407" s="736">
        <f t="shared" si="19"/>
        <v>2237840.8251315318</v>
      </c>
      <c r="G407" s="794">
        <f t="shared" si="20"/>
        <v>1829607.8289989198</v>
      </c>
      <c r="H407" s="795">
        <f t="shared" si="21"/>
        <v>1829607.8289989198</v>
      </c>
      <c r="I407" s="792">
        <f t="shared" si="22"/>
        <v>0</v>
      </c>
      <c r="J407" s="792"/>
      <c r="K407" s="812"/>
      <c r="L407" s="796"/>
      <c r="M407" s="812"/>
      <c r="N407" s="796"/>
      <c r="O407" s="796"/>
    </row>
    <row r="408" spans="3:15">
      <c r="C408" s="788">
        <f>IF(D365="","-",+C407+1)</f>
        <v>2052</v>
      </c>
      <c r="D408" s="736">
        <f t="shared" si="18"/>
        <v>2237840.8251315318</v>
      </c>
      <c r="E408" s="789">
        <f t="shared" si="23"/>
        <v>1491893.8834210525</v>
      </c>
      <c r="F408" s="736">
        <f t="shared" si="19"/>
        <v>745946.94171047932</v>
      </c>
      <c r="G408" s="794">
        <f t="shared" si="20"/>
        <v>1660750.8562099836</v>
      </c>
      <c r="H408" s="795">
        <f t="shared" si="21"/>
        <v>1660750.8562099836</v>
      </c>
      <c r="I408" s="792">
        <f t="shared" si="22"/>
        <v>0</v>
      </c>
      <c r="J408" s="792"/>
      <c r="K408" s="812"/>
      <c r="L408" s="796"/>
      <c r="M408" s="812"/>
      <c r="N408" s="796"/>
      <c r="O408" s="796"/>
    </row>
    <row r="409" spans="3:15">
      <c r="C409" s="788">
        <f>IF(D365="","-",+C408+1)</f>
        <v>2053</v>
      </c>
      <c r="D409" s="736">
        <f t="shared" si="18"/>
        <v>745946.94171047932</v>
      </c>
      <c r="E409" s="789">
        <f t="shared" si="23"/>
        <v>745946.94171047932</v>
      </c>
      <c r="F409" s="736">
        <f t="shared" si="19"/>
        <v>0</v>
      </c>
      <c r="G409" s="794">
        <f t="shared" si="20"/>
        <v>788161.18490771076</v>
      </c>
      <c r="H409" s="795">
        <f t="shared" si="21"/>
        <v>788161.18490771076</v>
      </c>
      <c r="I409" s="792">
        <f t="shared" si="22"/>
        <v>0</v>
      </c>
      <c r="J409" s="792"/>
      <c r="K409" s="812"/>
      <c r="L409" s="796"/>
      <c r="M409" s="812"/>
      <c r="N409" s="796"/>
      <c r="O409" s="796"/>
    </row>
    <row r="410" spans="3:15">
      <c r="C410" s="788">
        <f>IF(D365="","-",+C409+1)</f>
        <v>2054</v>
      </c>
      <c r="D410" s="736">
        <f t="shared" si="18"/>
        <v>0</v>
      </c>
      <c r="E410" s="789">
        <f t="shared" si="23"/>
        <v>0</v>
      </c>
      <c r="F410" s="736">
        <f t="shared" si="19"/>
        <v>0</v>
      </c>
      <c r="G410" s="794">
        <f t="shared" si="20"/>
        <v>0</v>
      </c>
      <c r="H410" s="795">
        <f t="shared" si="21"/>
        <v>0</v>
      </c>
      <c r="I410" s="792">
        <f t="shared" si="22"/>
        <v>0</v>
      </c>
      <c r="J410" s="792"/>
      <c r="K410" s="812"/>
      <c r="L410" s="796"/>
      <c r="M410" s="812"/>
      <c r="N410" s="796"/>
      <c r="O410" s="796"/>
    </row>
    <row r="411" spans="3:15">
      <c r="C411" s="788">
        <f>IF(D365="","-",+C410+1)</f>
        <v>2055</v>
      </c>
      <c r="D411" s="736">
        <f t="shared" si="18"/>
        <v>0</v>
      </c>
      <c r="E411" s="789">
        <f t="shared" si="23"/>
        <v>0</v>
      </c>
      <c r="F411" s="736">
        <f t="shared" si="19"/>
        <v>0</v>
      </c>
      <c r="G411" s="794">
        <f t="shared" si="20"/>
        <v>0</v>
      </c>
      <c r="H411" s="795">
        <f t="shared" si="21"/>
        <v>0</v>
      </c>
      <c r="I411" s="792">
        <f t="shared" si="22"/>
        <v>0</v>
      </c>
      <c r="J411" s="792"/>
      <c r="K411" s="812"/>
      <c r="L411" s="796"/>
      <c r="M411" s="812"/>
      <c r="N411" s="796"/>
      <c r="O411" s="796"/>
    </row>
    <row r="412" spans="3:15">
      <c r="C412" s="788">
        <f>IF(D365="","-",+C411+1)</f>
        <v>2056</v>
      </c>
      <c r="D412" s="736">
        <f t="shared" si="18"/>
        <v>0</v>
      </c>
      <c r="E412" s="789">
        <f t="shared" si="23"/>
        <v>0</v>
      </c>
      <c r="F412" s="736">
        <f t="shared" si="19"/>
        <v>0</v>
      </c>
      <c r="G412" s="794">
        <f t="shared" si="20"/>
        <v>0</v>
      </c>
      <c r="H412" s="795">
        <f t="shared" si="21"/>
        <v>0</v>
      </c>
      <c r="I412" s="792">
        <f t="shared" si="22"/>
        <v>0</v>
      </c>
      <c r="J412" s="792"/>
      <c r="K412" s="812"/>
      <c r="L412" s="796"/>
      <c r="M412" s="812"/>
      <c r="N412" s="796"/>
      <c r="O412" s="796"/>
    </row>
    <row r="413" spans="3:15">
      <c r="C413" s="788">
        <f>IF(D365="","-",+C412+1)</f>
        <v>2057</v>
      </c>
      <c r="D413" s="736">
        <f t="shared" si="18"/>
        <v>0</v>
      </c>
      <c r="E413" s="789">
        <f t="shared" si="23"/>
        <v>0</v>
      </c>
      <c r="F413" s="736">
        <f t="shared" si="19"/>
        <v>0</v>
      </c>
      <c r="G413" s="794">
        <f t="shared" si="20"/>
        <v>0</v>
      </c>
      <c r="H413" s="795">
        <f t="shared" si="21"/>
        <v>0</v>
      </c>
      <c r="I413" s="792">
        <f t="shared" si="22"/>
        <v>0</v>
      </c>
      <c r="J413" s="792"/>
      <c r="K413" s="812"/>
      <c r="L413" s="796"/>
      <c r="M413" s="812"/>
      <c r="N413" s="796"/>
      <c r="O413" s="796"/>
    </row>
    <row r="414" spans="3:15">
      <c r="C414" s="788">
        <f>IF(D365="","-",+C413+1)</f>
        <v>2058</v>
      </c>
      <c r="D414" s="736">
        <f t="shared" si="18"/>
        <v>0</v>
      </c>
      <c r="E414" s="789">
        <f t="shared" si="23"/>
        <v>0</v>
      </c>
      <c r="F414" s="736">
        <f t="shared" si="19"/>
        <v>0</v>
      </c>
      <c r="G414" s="794">
        <f t="shared" si="20"/>
        <v>0</v>
      </c>
      <c r="H414" s="795">
        <f t="shared" si="21"/>
        <v>0</v>
      </c>
      <c r="I414" s="792">
        <f t="shared" si="22"/>
        <v>0</v>
      </c>
      <c r="J414" s="792"/>
      <c r="K414" s="812"/>
      <c r="L414" s="796"/>
      <c r="M414" s="812"/>
      <c r="N414" s="796"/>
      <c r="O414" s="796"/>
    </row>
    <row r="415" spans="3:15">
      <c r="C415" s="788">
        <f>IF(D365="","-",+C414+1)</f>
        <v>2059</v>
      </c>
      <c r="D415" s="736">
        <f t="shared" si="18"/>
        <v>0</v>
      </c>
      <c r="E415" s="789">
        <f t="shared" si="23"/>
        <v>0</v>
      </c>
      <c r="F415" s="736">
        <f t="shared" si="19"/>
        <v>0</v>
      </c>
      <c r="G415" s="794">
        <f t="shared" si="20"/>
        <v>0</v>
      </c>
      <c r="H415" s="795">
        <f t="shared" si="21"/>
        <v>0</v>
      </c>
      <c r="I415" s="792">
        <f t="shared" si="22"/>
        <v>0</v>
      </c>
      <c r="J415" s="792"/>
      <c r="K415" s="812"/>
      <c r="L415" s="796"/>
      <c r="M415" s="812"/>
      <c r="N415" s="796"/>
      <c r="O415" s="796"/>
    </row>
    <row r="416" spans="3:15">
      <c r="C416" s="788">
        <f>IF(D365="","-",+C415+1)</f>
        <v>2060</v>
      </c>
      <c r="D416" s="736">
        <f t="shared" si="18"/>
        <v>0</v>
      </c>
      <c r="E416" s="789">
        <f t="shared" si="23"/>
        <v>0</v>
      </c>
      <c r="F416" s="736">
        <f t="shared" si="19"/>
        <v>0</v>
      </c>
      <c r="G416" s="794">
        <f t="shared" si="20"/>
        <v>0</v>
      </c>
      <c r="H416" s="795">
        <f t="shared" si="21"/>
        <v>0</v>
      </c>
      <c r="I416" s="792">
        <f t="shared" si="22"/>
        <v>0</v>
      </c>
      <c r="J416" s="792"/>
      <c r="K416" s="812"/>
      <c r="L416" s="796"/>
      <c r="M416" s="812"/>
      <c r="N416" s="796"/>
      <c r="O416" s="796"/>
    </row>
    <row r="417" spans="3:15">
      <c r="C417" s="788">
        <f>IF(D365="","-",+C416+1)</f>
        <v>2061</v>
      </c>
      <c r="D417" s="736">
        <f t="shared" si="18"/>
        <v>0</v>
      </c>
      <c r="E417" s="789">
        <f t="shared" si="23"/>
        <v>0</v>
      </c>
      <c r="F417" s="736">
        <f t="shared" si="19"/>
        <v>0</v>
      </c>
      <c r="G417" s="794">
        <f t="shared" si="20"/>
        <v>0</v>
      </c>
      <c r="H417" s="795">
        <f t="shared" si="21"/>
        <v>0</v>
      </c>
      <c r="I417" s="792">
        <f t="shared" si="22"/>
        <v>0</v>
      </c>
      <c r="J417" s="792"/>
      <c r="K417" s="812"/>
      <c r="L417" s="796"/>
      <c r="M417" s="812"/>
      <c r="N417" s="796"/>
      <c r="O417" s="796"/>
    </row>
    <row r="418" spans="3:15">
      <c r="C418" s="788">
        <f>IF(D365="","-",+C417+1)</f>
        <v>2062</v>
      </c>
      <c r="D418" s="736">
        <f t="shared" si="18"/>
        <v>0</v>
      </c>
      <c r="E418" s="789">
        <f t="shared" si="23"/>
        <v>0</v>
      </c>
      <c r="F418" s="736">
        <f t="shared" si="19"/>
        <v>0</v>
      </c>
      <c r="G418" s="794">
        <f t="shared" si="20"/>
        <v>0</v>
      </c>
      <c r="H418" s="795">
        <f t="shared" si="21"/>
        <v>0</v>
      </c>
      <c r="I418" s="792">
        <f t="shared" si="22"/>
        <v>0</v>
      </c>
      <c r="J418" s="792"/>
      <c r="K418" s="812"/>
      <c r="L418" s="796"/>
      <c r="M418" s="812"/>
      <c r="N418" s="796"/>
      <c r="O418" s="796"/>
    </row>
    <row r="419" spans="3:15">
      <c r="C419" s="788">
        <f>IF(D365="","-",+C418+1)</f>
        <v>2063</v>
      </c>
      <c r="D419" s="736">
        <f t="shared" si="18"/>
        <v>0</v>
      </c>
      <c r="E419" s="789">
        <f t="shared" si="23"/>
        <v>0</v>
      </c>
      <c r="F419" s="736">
        <f t="shared" si="19"/>
        <v>0</v>
      </c>
      <c r="G419" s="794">
        <f t="shared" si="20"/>
        <v>0</v>
      </c>
      <c r="H419" s="795">
        <f t="shared" si="21"/>
        <v>0</v>
      </c>
      <c r="I419" s="792">
        <f t="shared" si="22"/>
        <v>0</v>
      </c>
      <c r="J419" s="792"/>
      <c r="K419" s="812"/>
      <c r="L419" s="796"/>
      <c r="M419" s="812"/>
      <c r="N419" s="796"/>
      <c r="O419" s="796"/>
    </row>
    <row r="420" spans="3:15">
      <c r="C420" s="788">
        <f>IF(D365="","-",+C419+1)</f>
        <v>2064</v>
      </c>
      <c r="D420" s="736">
        <f t="shared" si="18"/>
        <v>0</v>
      </c>
      <c r="E420" s="789">
        <f t="shared" si="23"/>
        <v>0</v>
      </c>
      <c r="F420" s="736">
        <f t="shared" si="19"/>
        <v>0</v>
      </c>
      <c r="G420" s="794">
        <f t="shared" si="20"/>
        <v>0</v>
      </c>
      <c r="H420" s="795">
        <f t="shared" si="21"/>
        <v>0</v>
      </c>
      <c r="I420" s="792">
        <f t="shared" si="22"/>
        <v>0</v>
      </c>
      <c r="J420" s="792"/>
      <c r="K420" s="812"/>
      <c r="L420" s="796"/>
      <c r="M420" s="812"/>
      <c r="N420" s="796"/>
      <c r="O420" s="796"/>
    </row>
    <row r="421" spans="3:15">
      <c r="C421" s="788">
        <f>IF(D365="","-",+C420+1)</f>
        <v>2065</v>
      </c>
      <c r="D421" s="736">
        <f t="shared" si="18"/>
        <v>0</v>
      </c>
      <c r="E421" s="789">
        <f t="shared" si="23"/>
        <v>0</v>
      </c>
      <c r="F421" s="736">
        <f t="shared" si="19"/>
        <v>0</v>
      </c>
      <c r="G421" s="794">
        <f t="shared" si="20"/>
        <v>0</v>
      </c>
      <c r="H421" s="795">
        <f t="shared" si="21"/>
        <v>0</v>
      </c>
      <c r="I421" s="792">
        <f t="shared" si="22"/>
        <v>0</v>
      </c>
      <c r="J421" s="792"/>
      <c r="K421" s="812"/>
      <c r="L421" s="796"/>
      <c r="M421" s="812"/>
      <c r="N421" s="796"/>
      <c r="O421" s="796"/>
    </row>
    <row r="422" spans="3:15">
      <c r="C422" s="788">
        <f>IF(D365="","-",+C421+1)</f>
        <v>2066</v>
      </c>
      <c r="D422" s="736">
        <f t="shared" si="18"/>
        <v>0</v>
      </c>
      <c r="E422" s="789">
        <f t="shared" si="23"/>
        <v>0</v>
      </c>
      <c r="F422" s="736">
        <f t="shared" si="19"/>
        <v>0</v>
      </c>
      <c r="G422" s="794">
        <f t="shared" si="20"/>
        <v>0</v>
      </c>
      <c r="H422" s="795">
        <f t="shared" si="21"/>
        <v>0</v>
      </c>
      <c r="I422" s="792">
        <f t="shared" si="22"/>
        <v>0</v>
      </c>
      <c r="J422" s="792"/>
      <c r="K422" s="812"/>
      <c r="L422" s="796"/>
      <c r="M422" s="812"/>
      <c r="N422" s="796"/>
      <c r="O422" s="796"/>
    </row>
    <row r="423" spans="3:15">
      <c r="C423" s="788">
        <f>IF(D365="","-",+C422+1)</f>
        <v>2067</v>
      </c>
      <c r="D423" s="736">
        <f t="shared" si="18"/>
        <v>0</v>
      </c>
      <c r="E423" s="789">
        <f t="shared" si="23"/>
        <v>0</v>
      </c>
      <c r="F423" s="736">
        <f t="shared" si="19"/>
        <v>0</v>
      </c>
      <c r="G423" s="794">
        <f t="shared" si="20"/>
        <v>0</v>
      </c>
      <c r="H423" s="795">
        <f t="shared" si="21"/>
        <v>0</v>
      </c>
      <c r="I423" s="792">
        <f t="shared" si="22"/>
        <v>0</v>
      </c>
      <c r="J423" s="792"/>
      <c r="K423" s="812"/>
      <c r="L423" s="796"/>
      <c r="M423" s="812"/>
      <c r="N423" s="796"/>
      <c r="O423" s="796"/>
    </row>
    <row r="424" spans="3:15">
      <c r="C424" s="788">
        <f>IF(D365="","-",+C423+1)</f>
        <v>2068</v>
      </c>
      <c r="D424" s="736">
        <f t="shared" si="18"/>
        <v>0</v>
      </c>
      <c r="E424" s="789">
        <f t="shared" si="23"/>
        <v>0</v>
      </c>
      <c r="F424" s="736">
        <f t="shared" si="19"/>
        <v>0</v>
      </c>
      <c r="G424" s="794">
        <f t="shared" si="20"/>
        <v>0</v>
      </c>
      <c r="H424" s="795">
        <f t="shared" si="21"/>
        <v>0</v>
      </c>
      <c r="I424" s="792">
        <f t="shared" si="22"/>
        <v>0</v>
      </c>
      <c r="J424" s="792"/>
      <c r="K424" s="812"/>
      <c r="L424" s="796"/>
      <c r="M424" s="812"/>
      <c r="N424" s="796"/>
      <c r="O424" s="796"/>
    </row>
    <row r="425" spans="3:15">
      <c r="C425" s="788">
        <f>IF(D365="","-",+C424+1)</f>
        <v>2069</v>
      </c>
      <c r="D425" s="736">
        <f t="shared" si="18"/>
        <v>0</v>
      </c>
      <c r="E425" s="789">
        <f t="shared" si="23"/>
        <v>0</v>
      </c>
      <c r="F425" s="736">
        <f t="shared" si="19"/>
        <v>0</v>
      </c>
      <c r="G425" s="794">
        <f t="shared" si="20"/>
        <v>0</v>
      </c>
      <c r="H425" s="795">
        <f t="shared" si="21"/>
        <v>0</v>
      </c>
      <c r="I425" s="792">
        <f t="shared" si="22"/>
        <v>0</v>
      </c>
      <c r="J425" s="792"/>
      <c r="K425" s="812"/>
      <c r="L425" s="796"/>
      <c r="M425" s="812"/>
      <c r="N425" s="796"/>
      <c r="O425" s="796"/>
    </row>
    <row r="426" spans="3:15">
      <c r="C426" s="788">
        <f>IF(D365="","-",+C425+1)</f>
        <v>2070</v>
      </c>
      <c r="D426" s="736">
        <f t="shared" si="18"/>
        <v>0</v>
      </c>
      <c r="E426" s="789">
        <f t="shared" si="23"/>
        <v>0</v>
      </c>
      <c r="F426" s="736">
        <f t="shared" si="19"/>
        <v>0</v>
      </c>
      <c r="G426" s="794">
        <f t="shared" si="20"/>
        <v>0</v>
      </c>
      <c r="H426" s="795">
        <f t="shared" si="21"/>
        <v>0</v>
      </c>
      <c r="I426" s="792">
        <f t="shared" si="22"/>
        <v>0</v>
      </c>
      <c r="J426" s="792"/>
      <c r="K426" s="812"/>
      <c r="L426" s="796"/>
      <c r="M426" s="812"/>
      <c r="N426" s="796"/>
      <c r="O426" s="796"/>
    </row>
    <row r="427" spans="3:15">
      <c r="C427" s="788">
        <f>IF(D365="","-",+C426+1)</f>
        <v>2071</v>
      </c>
      <c r="D427" s="736">
        <f t="shared" si="18"/>
        <v>0</v>
      </c>
      <c r="E427" s="789">
        <f t="shared" si="23"/>
        <v>0</v>
      </c>
      <c r="F427" s="736">
        <f t="shared" si="19"/>
        <v>0</v>
      </c>
      <c r="G427" s="794">
        <f t="shared" si="20"/>
        <v>0</v>
      </c>
      <c r="H427" s="795">
        <f t="shared" si="21"/>
        <v>0</v>
      </c>
      <c r="I427" s="792">
        <f t="shared" si="22"/>
        <v>0</v>
      </c>
      <c r="J427" s="792"/>
      <c r="K427" s="812"/>
      <c r="L427" s="796"/>
      <c r="M427" s="812"/>
      <c r="N427" s="796"/>
      <c r="O427" s="796"/>
    </row>
    <row r="428" spans="3:15">
      <c r="C428" s="788">
        <f>IF(D365="","-",+C427+1)</f>
        <v>2072</v>
      </c>
      <c r="D428" s="736">
        <f t="shared" si="18"/>
        <v>0</v>
      </c>
      <c r="E428" s="789">
        <f t="shared" si="23"/>
        <v>0</v>
      </c>
      <c r="F428" s="736">
        <f t="shared" si="19"/>
        <v>0</v>
      </c>
      <c r="G428" s="794">
        <f t="shared" si="20"/>
        <v>0</v>
      </c>
      <c r="H428" s="795">
        <f t="shared" si="21"/>
        <v>0</v>
      </c>
      <c r="I428" s="792">
        <f t="shared" si="22"/>
        <v>0</v>
      </c>
      <c r="J428" s="792"/>
      <c r="K428" s="812"/>
      <c r="L428" s="796"/>
      <c r="M428" s="812"/>
      <c r="N428" s="796"/>
      <c r="O428" s="796"/>
    </row>
    <row r="429" spans="3:15">
      <c r="C429" s="788">
        <f>IF(D365="","-",+C428+1)</f>
        <v>2073</v>
      </c>
      <c r="D429" s="736">
        <f t="shared" si="18"/>
        <v>0</v>
      </c>
      <c r="E429" s="789">
        <f t="shared" si="23"/>
        <v>0</v>
      </c>
      <c r="F429" s="736">
        <f t="shared" si="19"/>
        <v>0</v>
      </c>
      <c r="G429" s="794">
        <f t="shared" si="20"/>
        <v>0</v>
      </c>
      <c r="H429" s="795">
        <f t="shared" si="21"/>
        <v>0</v>
      </c>
      <c r="I429" s="792">
        <f t="shared" si="22"/>
        <v>0</v>
      </c>
      <c r="J429" s="792"/>
      <c r="K429" s="812"/>
      <c r="L429" s="796"/>
      <c r="M429" s="812"/>
      <c r="N429" s="796"/>
      <c r="O429" s="796"/>
    </row>
    <row r="430" spans="3:15" ht="13.5" thickBot="1">
      <c r="C430" s="798">
        <f>IF(D365="","-",+C429+1)</f>
        <v>2074</v>
      </c>
      <c r="D430" s="799">
        <f t="shared" si="18"/>
        <v>0</v>
      </c>
      <c r="E430" s="800">
        <f t="shared" si="23"/>
        <v>0</v>
      </c>
      <c r="F430" s="799">
        <f t="shared" si="19"/>
        <v>0</v>
      </c>
      <c r="G430" s="801">
        <f t="shared" si="20"/>
        <v>0</v>
      </c>
      <c r="H430" s="801">
        <f t="shared" si="21"/>
        <v>0</v>
      </c>
      <c r="I430" s="802">
        <f t="shared" si="22"/>
        <v>0</v>
      </c>
      <c r="J430" s="792"/>
      <c r="K430" s="813"/>
      <c r="L430" s="803"/>
      <c r="M430" s="813"/>
      <c r="N430" s="803"/>
      <c r="O430" s="803"/>
    </row>
    <row r="431" spans="3:15">
      <c r="C431" s="736" t="s">
        <v>83</v>
      </c>
      <c r="D431" s="730"/>
      <c r="E431" s="730">
        <f>SUM(E371:E430)</f>
        <v>56691967.57</v>
      </c>
      <c r="F431" s="730"/>
      <c r="G431" s="730">
        <f>SUM(G371:G430)</f>
        <v>181814984.40660164</v>
      </c>
      <c r="H431" s="730">
        <f>SUM(H371:H430)</f>
        <v>181814984.40660164</v>
      </c>
      <c r="I431" s="730">
        <f>SUM(I371:I430)</f>
        <v>0</v>
      </c>
      <c r="J431" s="730"/>
      <c r="K431" s="730"/>
      <c r="L431" s="730"/>
      <c r="M431" s="730"/>
      <c r="N431" s="730"/>
      <c r="O431" s="314"/>
    </row>
    <row r="432" spans="3:15">
      <c r="D432" s="538"/>
      <c r="E432" s="314"/>
      <c r="F432" s="314"/>
      <c r="G432" s="314"/>
      <c r="H432" s="708"/>
      <c r="I432" s="708"/>
      <c r="J432" s="730"/>
      <c r="K432" s="708"/>
      <c r="L432" s="708"/>
      <c r="M432" s="708"/>
      <c r="N432" s="708"/>
      <c r="O432" s="314"/>
    </row>
    <row r="433" spans="1:16">
      <c r="C433" s="314" t="s">
        <v>13</v>
      </c>
      <c r="D433" s="538"/>
      <c r="E433" s="314"/>
      <c r="F433" s="314"/>
      <c r="G433" s="314"/>
      <c r="H433" s="708"/>
      <c r="I433" s="708"/>
      <c r="J433" s="730"/>
      <c r="K433" s="708"/>
      <c r="L433" s="708"/>
      <c r="M433" s="708"/>
      <c r="N433" s="708"/>
      <c r="O433" s="314"/>
    </row>
    <row r="434" spans="1:16">
      <c r="C434" s="314"/>
      <c r="D434" s="538"/>
      <c r="E434" s="314"/>
      <c r="F434" s="314"/>
      <c r="G434" s="314"/>
      <c r="H434" s="708"/>
      <c r="I434" s="708"/>
      <c r="J434" s="730"/>
      <c r="K434" s="708"/>
      <c r="L434" s="708"/>
      <c r="M434" s="708"/>
      <c r="N434" s="708"/>
      <c r="O434" s="314"/>
    </row>
    <row r="435" spans="1:16">
      <c r="C435" s="749" t="s">
        <v>14</v>
      </c>
      <c r="D435" s="736"/>
      <c r="E435" s="736"/>
      <c r="F435" s="736"/>
      <c r="G435" s="730"/>
      <c r="H435" s="730"/>
      <c r="I435" s="804"/>
      <c r="J435" s="804"/>
      <c r="K435" s="804"/>
      <c r="L435" s="804"/>
      <c r="M435" s="804"/>
      <c r="N435" s="804"/>
      <c r="O435" s="314"/>
    </row>
    <row r="436" spans="1:16">
      <c r="C436" s="735" t="s">
        <v>263</v>
      </c>
      <c r="D436" s="736"/>
      <c r="E436" s="736"/>
      <c r="F436" s="736"/>
      <c r="G436" s="730"/>
      <c r="H436" s="730"/>
      <c r="I436" s="804"/>
      <c r="J436" s="804"/>
      <c r="K436" s="804"/>
      <c r="L436" s="804"/>
      <c r="M436" s="804"/>
      <c r="N436" s="804"/>
      <c r="O436" s="314"/>
    </row>
    <row r="437" spans="1:16">
      <c r="C437" s="735" t="s">
        <v>84</v>
      </c>
      <c r="D437" s="736"/>
      <c r="E437" s="736"/>
      <c r="F437" s="736"/>
      <c r="G437" s="730"/>
      <c r="H437" s="730"/>
      <c r="I437" s="804"/>
      <c r="J437" s="804"/>
      <c r="K437" s="804"/>
      <c r="L437" s="804"/>
      <c r="M437" s="804"/>
      <c r="N437" s="804"/>
      <c r="O437" s="314"/>
    </row>
    <row r="438" spans="1:16">
      <c r="C438" s="735"/>
      <c r="D438" s="736"/>
      <c r="E438" s="736"/>
      <c r="F438" s="736"/>
      <c r="G438" s="730"/>
      <c r="H438" s="730"/>
      <c r="I438" s="804"/>
      <c r="J438" s="804"/>
      <c r="K438" s="804"/>
      <c r="L438" s="804"/>
      <c r="M438" s="804"/>
      <c r="N438" s="804"/>
      <c r="O438" s="314"/>
    </row>
    <row r="439" spans="1:16">
      <c r="C439" s="1526" t="s">
        <v>6</v>
      </c>
      <c r="D439" s="1526"/>
      <c r="E439" s="1526"/>
      <c r="F439" s="1526"/>
      <c r="G439" s="1526"/>
      <c r="H439" s="1526"/>
      <c r="I439" s="1526"/>
      <c r="J439" s="1526"/>
      <c r="K439" s="1526"/>
      <c r="L439" s="1526"/>
      <c r="M439" s="1526"/>
      <c r="N439" s="1526"/>
      <c r="O439" s="1526"/>
    </row>
    <row r="440" spans="1:16">
      <c r="C440" s="1526"/>
      <c r="D440" s="1526"/>
      <c r="E440" s="1526"/>
      <c r="F440" s="1526"/>
      <c r="G440" s="1526"/>
      <c r="H440" s="1526"/>
      <c r="I440" s="1526"/>
      <c r="J440" s="1526"/>
      <c r="K440" s="1526"/>
      <c r="L440" s="1526"/>
      <c r="M440" s="1526"/>
      <c r="N440" s="1526"/>
      <c r="O440" s="1526"/>
    </row>
    <row r="441" spans="1:16">
      <c r="C441" s="735"/>
      <c r="D441" s="736"/>
      <c r="E441" s="736"/>
      <c r="F441" s="736"/>
      <c r="G441" s="730"/>
      <c r="H441" s="730"/>
    </row>
    <row r="442" spans="1:16" ht="20.25">
      <c r="A442" s="737" t="str">
        <f>""&amp;A366&amp;" Worksheet J -  ATRR PROJECTED Calculation for PJM Projects Charged to Benefiting Zones"</f>
        <v xml:space="preserve"> Worksheet J -  ATRR PROJECTED Calculation for PJM Projects Charged to Benefiting Zones</v>
      </c>
      <c r="B442" s="348"/>
      <c r="C442" s="725"/>
      <c r="D442" s="538"/>
      <c r="E442" s="314"/>
      <c r="F442" s="707"/>
      <c r="G442" s="314"/>
      <c r="H442" s="708"/>
      <c r="K442" s="564"/>
      <c r="L442" s="564"/>
      <c r="M442" s="564"/>
      <c r="N442" s="653" t="str">
        <f>"Page "&amp;SUM(P$8:P442)&amp;" of "</f>
        <v xml:space="preserve">Page 6 of </v>
      </c>
      <c r="O442" s="654">
        <f>COUNT(P$8:P$56653)</f>
        <v>12</v>
      </c>
      <c r="P442" s="738">
        <v>1</v>
      </c>
    </row>
    <row r="443" spans="1:16">
      <c r="B443" s="348"/>
      <c r="C443" s="314"/>
      <c r="D443" s="538"/>
      <c r="E443" s="314"/>
      <c r="F443" s="314"/>
      <c r="G443" s="314"/>
      <c r="H443" s="708"/>
      <c r="I443" s="314"/>
      <c r="J443" s="427"/>
      <c r="K443" s="314"/>
      <c r="L443" s="314"/>
      <c r="M443" s="314"/>
      <c r="N443" s="314"/>
      <c r="O443" s="314"/>
      <c r="P443" s="427"/>
    </row>
    <row r="444" spans="1:16" ht="18">
      <c r="B444" s="657" t="s">
        <v>464</v>
      </c>
      <c r="C444" s="739" t="s">
        <v>85</v>
      </c>
      <c r="D444" s="538"/>
      <c r="E444" s="314"/>
      <c r="F444" s="314"/>
      <c r="G444" s="314"/>
      <c r="H444" s="708"/>
      <c r="I444" s="708"/>
      <c r="J444" s="730"/>
      <c r="K444" s="708"/>
      <c r="L444" s="708"/>
      <c r="M444" s="708"/>
      <c r="N444" s="708"/>
      <c r="O444" s="314"/>
    </row>
    <row r="445" spans="1:16" ht="18.75">
      <c r="B445" s="657"/>
      <c r="C445" s="656"/>
      <c r="D445" s="538"/>
      <c r="E445" s="314"/>
      <c r="F445" s="314"/>
      <c r="G445" s="314"/>
      <c r="H445" s="708"/>
      <c r="I445" s="708"/>
      <c r="J445" s="730"/>
      <c r="K445" s="708"/>
      <c r="L445" s="708"/>
      <c r="M445" s="708"/>
      <c r="N445" s="708"/>
      <c r="O445" s="314"/>
    </row>
    <row r="446" spans="1:16" ht="18.75">
      <c r="B446" s="657"/>
      <c r="C446" s="656" t="s">
        <v>86</v>
      </c>
      <c r="D446" s="538"/>
      <c r="E446" s="314"/>
      <c r="F446" s="314"/>
      <c r="G446" s="314"/>
      <c r="H446" s="708"/>
      <c r="I446" s="708"/>
      <c r="J446" s="730"/>
      <c r="K446" s="708"/>
      <c r="L446" s="708"/>
      <c r="M446" s="708"/>
      <c r="N446" s="708"/>
      <c r="O446" s="314"/>
    </row>
    <row r="447" spans="1:16" ht="15.75" thickBot="1">
      <c r="C447" s="240"/>
      <c r="D447" s="538"/>
      <c r="E447" s="314"/>
      <c r="F447" s="314"/>
      <c r="G447" s="314"/>
      <c r="H447" s="708"/>
      <c r="I447" s="708"/>
      <c r="J447" s="730"/>
      <c r="K447" s="708"/>
      <c r="L447" s="708"/>
      <c r="M447" s="708"/>
      <c r="N447" s="708"/>
      <c r="O447" s="314"/>
    </row>
    <row r="448" spans="1:16" ht="15.75">
      <c r="C448" s="659" t="s">
        <v>87</v>
      </c>
      <c r="D448" s="538"/>
      <c r="E448" s="314"/>
      <c r="F448" s="314"/>
      <c r="G448" s="806"/>
      <c r="H448" s="314" t="s">
        <v>66</v>
      </c>
      <c r="I448" s="314"/>
      <c r="J448" s="427"/>
      <c r="K448" s="740" t="s">
        <v>91</v>
      </c>
      <c r="L448" s="741"/>
      <c r="M448" s="742"/>
      <c r="N448" s="743">
        <f>IF(I454=0,0,VLOOKUP(I454,C461:O520,5))</f>
        <v>2419442.1984149539</v>
      </c>
      <c r="O448" s="314"/>
    </row>
    <row r="449" spans="2:15" ht="15.75">
      <c r="C449" s="659"/>
      <c r="D449" s="538"/>
      <c r="E449" s="314"/>
      <c r="F449" s="314"/>
      <c r="G449" s="314"/>
      <c r="H449" s="744"/>
      <c r="I449" s="744"/>
      <c r="J449" s="745"/>
      <c r="K449" s="746" t="s">
        <v>92</v>
      </c>
      <c r="L449" s="747"/>
      <c r="M449" s="427"/>
      <c r="N449" s="748">
        <f>IF(I454=0,0,VLOOKUP(I454,C461:O520,6))</f>
        <v>2419442.1984149539</v>
      </c>
      <c r="O449" s="314"/>
    </row>
    <row r="450" spans="2:15" ht="13.5" thickBot="1">
      <c r="C450" s="749" t="s">
        <v>88</v>
      </c>
      <c r="D450" s="1527" t="s">
        <v>814</v>
      </c>
      <c r="E450" s="1527"/>
      <c r="F450" s="1527"/>
      <c r="G450" s="1527"/>
      <c r="H450" s="1527"/>
      <c r="I450" s="1527"/>
      <c r="J450" s="730"/>
      <c r="K450" s="750" t="s">
        <v>230</v>
      </c>
      <c r="L450" s="751"/>
      <c r="M450" s="751"/>
      <c r="N450" s="752">
        <f>+N449-N448</f>
        <v>0</v>
      </c>
      <c r="O450" s="314"/>
    </row>
    <row r="451" spans="2:15">
      <c r="C451" s="753"/>
      <c r="D451" s="754"/>
      <c r="E451" s="734"/>
      <c r="F451" s="734"/>
      <c r="G451" s="755"/>
      <c r="H451" s="708"/>
      <c r="I451" s="708"/>
      <c r="J451" s="730"/>
      <c r="K451" s="708"/>
      <c r="L451" s="708"/>
      <c r="M451" s="708"/>
      <c r="N451" s="708"/>
      <c r="O451" s="314"/>
    </row>
    <row r="452" spans="2:15" ht="13.5" thickBot="1">
      <c r="C452" s="756"/>
      <c r="D452" s="757"/>
      <c r="E452" s="755"/>
      <c r="F452" s="755"/>
      <c r="G452" s="755"/>
      <c r="H452" s="755"/>
      <c r="I452" s="755"/>
      <c r="J452" s="758"/>
      <c r="K452" s="755"/>
      <c r="L452" s="755"/>
      <c r="M452" s="755"/>
      <c r="N452" s="755"/>
      <c r="O452" s="348"/>
    </row>
    <row r="453" spans="2:15" ht="13.5" thickBot="1">
      <c r="C453" s="759" t="s">
        <v>89</v>
      </c>
      <c r="D453" s="760"/>
      <c r="E453" s="760"/>
      <c r="F453" s="760"/>
      <c r="G453" s="760"/>
      <c r="H453" s="760"/>
      <c r="I453" s="761"/>
      <c r="J453" s="762"/>
      <c r="K453" s="314"/>
      <c r="L453" s="314"/>
      <c r="M453" s="314"/>
      <c r="N453" s="314"/>
      <c r="O453" s="763"/>
    </row>
    <row r="454" spans="2:15" ht="15">
      <c r="C454" s="764" t="s">
        <v>67</v>
      </c>
      <c r="D454" s="808">
        <v>21756984.210000001</v>
      </c>
      <c r="E454" s="725" t="s">
        <v>68</v>
      </c>
      <c r="G454" s="765"/>
      <c r="H454" s="765"/>
      <c r="I454" s="766">
        <f>$L$26</f>
        <v>2025</v>
      </c>
      <c r="J454" s="554"/>
      <c r="K454" s="1528" t="s">
        <v>239</v>
      </c>
      <c r="L454" s="1528"/>
      <c r="M454" s="1528"/>
      <c r="N454" s="1528"/>
      <c r="O454" s="1528"/>
    </row>
    <row r="455" spans="2:15">
      <c r="C455" s="764" t="s">
        <v>70</v>
      </c>
      <c r="D455" s="809">
        <v>2015</v>
      </c>
      <c r="E455" s="764" t="s">
        <v>71</v>
      </c>
      <c r="F455" s="765"/>
      <c r="H455" s="173"/>
      <c r="I455" s="810">
        <f>IF(G448="",0,$F$17)</f>
        <v>0</v>
      </c>
      <c r="J455" s="767"/>
      <c r="K455" s="730" t="s">
        <v>239</v>
      </c>
    </row>
    <row r="456" spans="2:15">
      <c r="C456" s="764" t="s">
        <v>72</v>
      </c>
      <c r="D456" s="808">
        <v>12</v>
      </c>
      <c r="E456" s="764" t="s">
        <v>73</v>
      </c>
      <c r="F456" s="765"/>
      <c r="H456" s="173"/>
      <c r="I456" s="768">
        <f>$G$70</f>
        <v>0.11318296473052861</v>
      </c>
      <c r="J456" s="769"/>
      <c r="K456" s="173" t="str">
        <f>"          INPUT PROJECTED ARR (WITH &amp; WITHOUT INCENTIVES) FROM EACH PRIOR YEAR"</f>
        <v xml:space="preserve">          INPUT PROJECTED ARR (WITH &amp; WITHOUT INCENTIVES) FROM EACH PRIOR YEAR</v>
      </c>
    </row>
    <row r="457" spans="2:15">
      <c r="C457" s="764" t="s">
        <v>74</v>
      </c>
      <c r="D457" s="770">
        <f>$G$79</f>
        <v>38</v>
      </c>
      <c r="E457" s="764" t="s">
        <v>75</v>
      </c>
      <c r="F457" s="765"/>
      <c r="H457" s="173"/>
      <c r="I457" s="768">
        <f>IF(G448="",I456,$G$69)</f>
        <v>0.11318296473052861</v>
      </c>
      <c r="J457" s="771"/>
      <c r="K457" s="173" t="s">
        <v>152</v>
      </c>
    </row>
    <row r="458" spans="2:15" ht="13.5" thickBot="1">
      <c r="C458" s="764" t="s">
        <v>76</v>
      </c>
      <c r="D458" s="807" t="s">
        <v>810</v>
      </c>
      <c r="E458" s="772" t="s">
        <v>77</v>
      </c>
      <c r="F458" s="773"/>
      <c r="G458" s="774"/>
      <c r="H458" s="774"/>
      <c r="I458" s="752">
        <f>IF(D454=0,0,D454/D457)</f>
        <v>572552.21605263161</v>
      </c>
      <c r="J458" s="730"/>
      <c r="K458" s="730" t="s">
        <v>158</v>
      </c>
      <c r="L458" s="730"/>
      <c r="M458" s="730"/>
      <c r="N458" s="730"/>
      <c r="O458" s="427"/>
    </row>
    <row r="459" spans="2:15" ht="38.25">
      <c r="B459" s="845"/>
      <c r="C459" s="775" t="s">
        <v>67</v>
      </c>
      <c r="D459" s="776" t="s">
        <v>78</v>
      </c>
      <c r="E459" s="777" t="s">
        <v>79</v>
      </c>
      <c r="F459" s="776" t="s">
        <v>80</v>
      </c>
      <c r="G459" s="777" t="s">
        <v>151</v>
      </c>
      <c r="H459" s="778" t="s">
        <v>151</v>
      </c>
      <c r="I459" s="775" t="s">
        <v>90</v>
      </c>
      <c r="J459" s="779"/>
      <c r="K459" s="777" t="s">
        <v>160</v>
      </c>
      <c r="L459" s="780"/>
      <c r="M459" s="777" t="s">
        <v>160</v>
      </c>
      <c r="N459" s="780"/>
      <c r="O459" s="780"/>
    </row>
    <row r="460" spans="2:15" ht="13.5" thickBot="1">
      <c r="C460" s="781" t="s">
        <v>467</v>
      </c>
      <c r="D460" s="782" t="s">
        <v>468</v>
      </c>
      <c r="E460" s="781" t="s">
        <v>361</v>
      </c>
      <c r="F460" s="782" t="s">
        <v>468</v>
      </c>
      <c r="G460" s="783" t="s">
        <v>93</v>
      </c>
      <c r="H460" s="784" t="s">
        <v>95</v>
      </c>
      <c r="I460" s="785" t="s">
        <v>15</v>
      </c>
      <c r="J460" s="786"/>
      <c r="K460" s="783" t="s">
        <v>82</v>
      </c>
      <c r="L460" s="787"/>
      <c r="M460" s="783" t="s">
        <v>95</v>
      </c>
      <c r="N460" s="787"/>
      <c r="O460" s="787"/>
    </row>
    <row r="461" spans="2:15">
      <c r="C461" s="788">
        <f>IF(D455= "","-",D455)</f>
        <v>2015</v>
      </c>
      <c r="D461" s="736">
        <f>+D454</f>
        <v>21756984.210000001</v>
      </c>
      <c r="E461" s="789">
        <f>+I458/12*(12-D456)</f>
        <v>0</v>
      </c>
      <c r="F461" s="736">
        <f>+D461-E461</f>
        <v>21756984.210000001</v>
      </c>
      <c r="G461" s="999">
        <f>+$I$96*((D461+F461)/2)+E461</f>
        <v>2462519.9764830978</v>
      </c>
      <c r="H461" s="1000">
        <f>$I$97*((D461+F461)/2)+E461</f>
        <v>2462519.9764830978</v>
      </c>
      <c r="I461" s="792">
        <f>+H461-G461</f>
        <v>0</v>
      </c>
      <c r="J461" s="792"/>
      <c r="K461" s="811">
        <v>2348715</v>
      </c>
      <c r="L461" s="793"/>
      <c r="M461" s="811">
        <v>2348715</v>
      </c>
      <c r="N461" s="793"/>
      <c r="O461" s="793"/>
    </row>
    <row r="462" spans="2:15">
      <c r="C462" s="788">
        <f>IF(D455="","-",+C461+1)</f>
        <v>2016</v>
      </c>
      <c r="D462" s="736">
        <f t="shared" ref="D462:D520" si="24">F461</f>
        <v>21756984.210000001</v>
      </c>
      <c r="E462" s="789">
        <f>IF(D462&gt;$I$458,$I$458,D462)</f>
        <v>572552.21605263161</v>
      </c>
      <c r="F462" s="736">
        <f t="shared" ref="F462:F520" si="25">+D462-E462</f>
        <v>21184431.993947368</v>
      </c>
      <c r="G462" s="794">
        <f t="shared" ref="G462:G520" si="26">+$I$96*((D462+F462)/2)+E462</f>
        <v>3002670.6138977939</v>
      </c>
      <c r="H462" s="795">
        <f t="shared" ref="H462:H520" si="27">$I$97*((D462+F462)/2)+E462</f>
        <v>3002670.6138977939</v>
      </c>
      <c r="I462" s="792">
        <f t="shared" ref="I462:I520" si="28">+H462-G462</f>
        <v>0</v>
      </c>
      <c r="J462" s="792"/>
      <c r="K462" s="812">
        <v>2575052</v>
      </c>
      <c r="L462" s="796"/>
      <c r="M462" s="812">
        <v>2575052</v>
      </c>
      <c r="N462" s="796"/>
      <c r="O462" s="796"/>
    </row>
    <row r="463" spans="2:15">
      <c r="C463" s="788">
        <f>IF(D455="","-",+C462+1)</f>
        <v>2017</v>
      </c>
      <c r="D463" s="736">
        <f t="shared" si="24"/>
        <v>21184431.993947368</v>
      </c>
      <c r="E463" s="789">
        <f t="shared" ref="E463:E520" si="29">IF(D463&gt;$I$458,$I$458,D463)</f>
        <v>572552.21605263161</v>
      </c>
      <c r="F463" s="736">
        <f t="shared" si="25"/>
        <v>20611879.777894735</v>
      </c>
      <c r="G463" s="794">
        <f t="shared" si="26"/>
        <v>2937867.4566219235</v>
      </c>
      <c r="H463" s="795">
        <f t="shared" si="27"/>
        <v>2937867.4566219235</v>
      </c>
      <c r="I463" s="792">
        <f t="shared" si="28"/>
        <v>0</v>
      </c>
      <c r="J463" s="792"/>
      <c r="K463" s="812">
        <v>2745014</v>
      </c>
      <c r="L463" s="796"/>
      <c r="M463" s="812">
        <v>2745014</v>
      </c>
      <c r="N463" s="796"/>
      <c r="O463" s="796"/>
    </row>
    <row r="464" spans="2:15">
      <c r="C464" s="1315">
        <f>IF(D455="","-",+C463+1)</f>
        <v>2018</v>
      </c>
      <c r="D464" s="736">
        <f t="shared" si="24"/>
        <v>20611879.777894735</v>
      </c>
      <c r="E464" s="789">
        <f t="shared" si="29"/>
        <v>572552.21605263161</v>
      </c>
      <c r="F464" s="736">
        <f t="shared" si="25"/>
        <v>20039327.561842103</v>
      </c>
      <c r="G464" s="794">
        <f t="shared" si="26"/>
        <v>2873064.2993460512</v>
      </c>
      <c r="H464" s="795">
        <f t="shared" si="27"/>
        <v>2873064.2993460512</v>
      </c>
      <c r="I464" s="792">
        <f t="shared" si="28"/>
        <v>0</v>
      </c>
      <c r="J464" s="792"/>
      <c r="K464" s="812">
        <v>2387052</v>
      </c>
      <c r="L464" s="796"/>
      <c r="M464" s="812">
        <v>2387052</v>
      </c>
      <c r="N464" s="796"/>
      <c r="O464" s="796"/>
    </row>
    <row r="465" spans="3:15">
      <c r="C465" s="1315">
        <f>IF(D455="","-",+C464+1)</f>
        <v>2019</v>
      </c>
      <c r="D465" s="736">
        <f t="shared" si="24"/>
        <v>20039327.561842103</v>
      </c>
      <c r="E465" s="789">
        <f t="shared" si="29"/>
        <v>572552.21605263161</v>
      </c>
      <c r="F465" s="736">
        <f t="shared" si="25"/>
        <v>19466775.34578947</v>
      </c>
      <c r="G465" s="794">
        <f t="shared" si="26"/>
        <v>2808261.1420701807</v>
      </c>
      <c r="H465" s="795">
        <f t="shared" si="27"/>
        <v>2808261.1420701807</v>
      </c>
      <c r="I465" s="792">
        <f t="shared" si="28"/>
        <v>0</v>
      </c>
      <c r="J465" s="792"/>
      <c r="K465" s="812">
        <v>2545928.246515369</v>
      </c>
      <c r="L465" s="796"/>
      <c r="M465" s="812">
        <v>2545928.246515369</v>
      </c>
      <c r="N465" s="796"/>
      <c r="O465" s="796"/>
    </row>
    <row r="466" spans="3:15">
      <c r="C466" s="1315">
        <f>IF(D454="","-",+C465+1)</f>
        <v>2020</v>
      </c>
      <c r="D466" s="736">
        <f t="shared" si="24"/>
        <v>19466775.34578947</v>
      </c>
      <c r="E466" s="789">
        <f t="shared" si="29"/>
        <v>572552.21605263161</v>
      </c>
      <c r="F466" s="736">
        <f t="shared" si="25"/>
        <v>18894223.129736837</v>
      </c>
      <c r="G466" s="794">
        <f t="shared" si="26"/>
        <v>2743457.9847943094</v>
      </c>
      <c r="H466" s="795">
        <f t="shared" si="27"/>
        <v>2743457.9847943094</v>
      </c>
      <c r="I466" s="792">
        <f t="shared" si="28"/>
        <v>0</v>
      </c>
      <c r="J466" s="792"/>
      <c r="K466" s="812">
        <v>2519395.1665153117</v>
      </c>
      <c r="L466" s="796"/>
      <c r="M466" s="812">
        <v>2519395.1665153117</v>
      </c>
      <c r="N466" s="796"/>
      <c r="O466" s="796"/>
    </row>
    <row r="467" spans="3:15">
      <c r="C467" s="1315">
        <f>IF(D454="","-",+C466+1)</f>
        <v>2021</v>
      </c>
      <c r="D467" s="736">
        <f t="shared" si="24"/>
        <v>18894223.129736837</v>
      </c>
      <c r="E467" s="789">
        <f t="shared" si="29"/>
        <v>572552.21605263161</v>
      </c>
      <c r="F467" s="736">
        <f t="shared" si="25"/>
        <v>18321670.913684204</v>
      </c>
      <c r="G467" s="794">
        <f t="shared" si="26"/>
        <v>2678654.8275184389</v>
      </c>
      <c r="H467" s="795">
        <f t="shared" si="27"/>
        <v>2678654.8275184389</v>
      </c>
      <c r="I467" s="792">
        <f t="shared" si="28"/>
        <v>0</v>
      </c>
      <c r="J467" s="792"/>
      <c r="K467" s="812">
        <v>2532044.061637044</v>
      </c>
      <c r="L467" s="796"/>
      <c r="M467" s="812">
        <v>2532044.061637044</v>
      </c>
      <c r="N467" s="796"/>
      <c r="O467" s="796"/>
    </row>
    <row r="468" spans="3:15">
      <c r="C468" s="1315">
        <f>IF(D455="","-",+C467+1)</f>
        <v>2022</v>
      </c>
      <c r="D468" s="736">
        <f t="shared" si="24"/>
        <v>18321670.913684204</v>
      </c>
      <c r="E468" s="789">
        <f t="shared" si="29"/>
        <v>572552.21605263161</v>
      </c>
      <c r="F468" s="736">
        <f t="shared" si="25"/>
        <v>17749118.697631571</v>
      </c>
      <c r="G468" s="794">
        <f t="shared" si="26"/>
        <v>2613851.6702425666</v>
      </c>
      <c r="H468" s="795">
        <f t="shared" si="27"/>
        <v>2613851.6702425666</v>
      </c>
      <c r="I468" s="792">
        <f t="shared" si="28"/>
        <v>0</v>
      </c>
      <c r="J468" s="792"/>
      <c r="K468" s="812">
        <v>2525362.8401380824</v>
      </c>
      <c r="L468" s="796"/>
      <c r="M468" s="812">
        <v>2525362.8401380824</v>
      </c>
      <c r="N468" s="796"/>
      <c r="O468" s="796"/>
    </row>
    <row r="469" spans="3:15">
      <c r="C469" s="1315">
        <f>IF(D455="","-",+C468+1)</f>
        <v>2023</v>
      </c>
      <c r="D469" s="736">
        <f t="shared" si="24"/>
        <v>17749118.697631571</v>
      </c>
      <c r="E469" s="789">
        <f t="shared" si="29"/>
        <v>572552.21605263161</v>
      </c>
      <c r="F469" s="736">
        <f t="shared" si="25"/>
        <v>17176566.481578939</v>
      </c>
      <c r="G469" s="794">
        <f t="shared" si="26"/>
        <v>2549048.5129666962</v>
      </c>
      <c r="H469" s="795">
        <f t="shared" si="27"/>
        <v>2549048.5129666962</v>
      </c>
      <c r="I469" s="792">
        <f t="shared" si="28"/>
        <v>0</v>
      </c>
      <c r="J469" s="792"/>
      <c r="K469" s="812">
        <v>2513805.4073997568</v>
      </c>
      <c r="L469" s="796"/>
      <c r="M469" s="812">
        <v>2513805.4073997568</v>
      </c>
      <c r="N469" s="796"/>
      <c r="O469" s="796"/>
    </row>
    <row r="470" spans="3:15">
      <c r="C470" s="1433">
        <f>IF(D455="","-",+C469+1)</f>
        <v>2024</v>
      </c>
      <c r="D470" s="736">
        <f t="shared" si="24"/>
        <v>17176566.481578939</v>
      </c>
      <c r="E470" s="789">
        <f t="shared" si="29"/>
        <v>572552.21605263161</v>
      </c>
      <c r="F470" s="736">
        <f t="shared" si="25"/>
        <v>16604014.265526308</v>
      </c>
      <c r="G470" s="794">
        <f t="shared" si="26"/>
        <v>2484245.3556908248</v>
      </c>
      <c r="H470" s="795">
        <f t="shared" si="27"/>
        <v>2484245.3556908248</v>
      </c>
      <c r="I470" s="792">
        <f t="shared" si="28"/>
        <v>0</v>
      </c>
      <c r="J470" s="792"/>
      <c r="K470" s="812">
        <v>2498904.9184745676</v>
      </c>
      <c r="L470" s="796"/>
      <c r="M470" s="812">
        <v>2498904.9184745676</v>
      </c>
      <c r="N470" s="796"/>
      <c r="O470" s="796"/>
    </row>
    <row r="471" spans="3:15">
      <c r="C471" s="1311">
        <f>IF(D455="","-",+C470+1)</f>
        <v>2025</v>
      </c>
      <c r="D471" s="736">
        <f t="shared" si="24"/>
        <v>16604014.265526308</v>
      </c>
      <c r="E471" s="789">
        <f t="shared" si="29"/>
        <v>572552.21605263161</v>
      </c>
      <c r="F471" s="736">
        <f t="shared" si="25"/>
        <v>16031462.049473677</v>
      </c>
      <c r="G471" s="794">
        <f t="shared" si="26"/>
        <v>2419442.1984149539</v>
      </c>
      <c r="H471" s="795">
        <f t="shared" si="27"/>
        <v>2419442.1984149539</v>
      </c>
      <c r="I471" s="792">
        <f t="shared" si="28"/>
        <v>0</v>
      </c>
      <c r="J471" s="792"/>
      <c r="K471" s="812"/>
      <c r="L471" s="796"/>
      <c r="M471" s="812"/>
      <c r="N471" s="796"/>
      <c r="O471" s="796"/>
    </row>
    <row r="472" spans="3:15">
      <c r="C472" s="788">
        <f>IF(D455="","-",+C471+1)</f>
        <v>2026</v>
      </c>
      <c r="D472" s="736">
        <f t="shared" si="24"/>
        <v>16031462.049473677</v>
      </c>
      <c r="E472" s="789">
        <f t="shared" si="29"/>
        <v>572552.21605263161</v>
      </c>
      <c r="F472" s="736">
        <f t="shared" si="25"/>
        <v>15458909.833421046</v>
      </c>
      <c r="G472" s="794">
        <f t="shared" si="26"/>
        <v>2354639.041139083</v>
      </c>
      <c r="H472" s="795">
        <f t="shared" si="27"/>
        <v>2354639.041139083</v>
      </c>
      <c r="I472" s="792">
        <f t="shared" si="28"/>
        <v>0</v>
      </c>
      <c r="J472" s="792"/>
      <c r="K472" s="812"/>
      <c r="L472" s="796"/>
      <c r="M472" s="812"/>
      <c r="N472" s="796"/>
      <c r="O472" s="796"/>
    </row>
    <row r="473" spans="3:15">
      <c r="C473" s="788">
        <f>IF(D455="","-",+C472+1)</f>
        <v>2027</v>
      </c>
      <c r="D473" s="736">
        <f t="shared" si="24"/>
        <v>15458909.833421046</v>
      </c>
      <c r="E473" s="789">
        <f t="shared" si="29"/>
        <v>572552.21605263161</v>
      </c>
      <c r="F473" s="736">
        <f t="shared" si="25"/>
        <v>14886357.617368415</v>
      </c>
      <c r="G473" s="794">
        <f t="shared" si="26"/>
        <v>2289835.8838632121</v>
      </c>
      <c r="H473" s="795">
        <f t="shared" si="27"/>
        <v>2289835.8838632121</v>
      </c>
      <c r="I473" s="792">
        <f t="shared" si="28"/>
        <v>0</v>
      </c>
      <c r="J473" s="792"/>
      <c r="K473" s="812"/>
      <c r="L473" s="796"/>
      <c r="M473" s="812"/>
      <c r="N473" s="797"/>
      <c r="O473" s="796"/>
    </row>
    <row r="474" spans="3:15">
      <c r="C474" s="788">
        <f>IF(D455="","-",+C473+1)</f>
        <v>2028</v>
      </c>
      <c r="D474" s="736">
        <f t="shared" si="24"/>
        <v>14886357.617368415</v>
      </c>
      <c r="E474" s="789">
        <f t="shared" si="29"/>
        <v>572552.21605263161</v>
      </c>
      <c r="F474" s="736">
        <f t="shared" si="25"/>
        <v>14313805.401315784</v>
      </c>
      <c r="G474" s="794">
        <f t="shared" si="26"/>
        <v>2225032.7265873412</v>
      </c>
      <c r="H474" s="795">
        <f t="shared" si="27"/>
        <v>2225032.7265873412</v>
      </c>
      <c r="I474" s="792">
        <f t="shared" si="28"/>
        <v>0</v>
      </c>
      <c r="J474" s="792"/>
      <c r="K474" s="812"/>
      <c r="L474" s="796"/>
      <c r="M474" s="812"/>
      <c r="N474" s="796"/>
      <c r="O474" s="796"/>
    </row>
    <row r="475" spans="3:15">
      <c r="C475" s="788">
        <f>IF(D455="","-",+C474+1)</f>
        <v>2029</v>
      </c>
      <c r="D475" s="736">
        <f t="shared" si="24"/>
        <v>14313805.401315784</v>
      </c>
      <c r="E475" s="789">
        <f t="shared" si="29"/>
        <v>572552.21605263161</v>
      </c>
      <c r="F475" s="736">
        <f t="shared" si="25"/>
        <v>13741253.185263153</v>
      </c>
      <c r="G475" s="794">
        <f t="shared" si="26"/>
        <v>2160229.5693114703</v>
      </c>
      <c r="H475" s="795">
        <f t="shared" si="27"/>
        <v>2160229.5693114703</v>
      </c>
      <c r="I475" s="792">
        <f t="shared" si="28"/>
        <v>0</v>
      </c>
      <c r="J475" s="792"/>
      <c r="K475" s="812"/>
      <c r="L475" s="796"/>
      <c r="M475" s="812"/>
      <c r="N475" s="796"/>
      <c r="O475" s="796"/>
    </row>
    <row r="476" spans="3:15">
      <c r="C476" s="788">
        <f>IF(D455="","-",+C475+1)</f>
        <v>2030</v>
      </c>
      <c r="D476" s="736">
        <f t="shared" si="24"/>
        <v>13741253.185263153</v>
      </c>
      <c r="E476" s="789">
        <f t="shared" si="29"/>
        <v>572552.21605263161</v>
      </c>
      <c r="F476" s="736">
        <f t="shared" si="25"/>
        <v>13168700.969210522</v>
      </c>
      <c r="G476" s="794">
        <f t="shared" si="26"/>
        <v>2095426.4120355996</v>
      </c>
      <c r="H476" s="795">
        <f t="shared" si="27"/>
        <v>2095426.4120355996</v>
      </c>
      <c r="I476" s="792">
        <f t="shared" si="28"/>
        <v>0</v>
      </c>
      <c r="J476" s="792"/>
      <c r="K476" s="812"/>
      <c r="L476" s="796"/>
      <c r="M476" s="812"/>
      <c r="N476" s="796"/>
      <c r="O476" s="796"/>
    </row>
    <row r="477" spans="3:15">
      <c r="C477" s="788">
        <f>IF(D455="","-",+C476+1)</f>
        <v>2031</v>
      </c>
      <c r="D477" s="736">
        <f t="shared" si="24"/>
        <v>13168700.969210522</v>
      </c>
      <c r="E477" s="789">
        <f t="shared" si="29"/>
        <v>572552.21605263161</v>
      </c>
      <c r="F477" s="736">
        <f t="shared" si="25"/>
        <v>12596148.753157891</v>
      </c>
      <c r="G477" s="794">
        <f t="shared" si="26"/>
        <v>2030623.2547597284</v>
      </c>
      <c r="H477" s="795">
        <f t="shared" si="27"/>
        <v>2030623.2547597284</v>
      </c>
      <c r="I477" s="792">
        <f t="shared" si="28"/>
        <v>0</v>
      </c>
      <c r="J477" s="792"/>
      <c r="K477" s="812"/>
      <c r="L477" s="796"/>
      <c r="M477" s="812"/>
      <c r="N477" s="796"/>
      <c r="O477" s="796"/>
    </row>
    <row r="478" spans="3:15">
      <c r="C478" s="788">
        <f>IF(D455="","-",+C477+1)</f>
        <v>2032</v>
      </c>
      <c r="D478" s="736">
        <f t="shared" si="24"/>
        <v>12596148.753157891</v>
      </c>
      <c r="E478" s="789">
        <f t="shared" si="29"/>
        <v>572552.21605263161</v>
      </c>
      <c r="F478" s="736">
        <f t="shared" si="25"/>
        <v>12023596.53710526</v>
      </c>
      <c r="G478" s="794">
        <f t="shared" si="26"/>
        <v>1965820.0974838578</v>
      </c>
      <c r="H478" s="795">
        <f t="shared" si="27"/>
        <v>1965820.0974838578</v>
      </c>
      <c r="I478" s="792">
        <f t="shared" si="28"/>
        <v>0</v>
      </c>
      <c r="J478" s="792"/>
      <c r="K478" s="812"/>
      <c r="L478" s="796"/>
      <c r="M478" s="812"/>
      <c r="N478" s="796"/>
      <c r="O478" s="796"/>
    </row>
    <row r="479" spans="3:15">
      <c r="C479" s="788">
        <f>IF(D455="","-",+C478+1)</f>
        <v>2033</v>
      </c>
      <c r="D479" s="736">
        <f t="shared" si="24"/>
        <v>12023596.53710526</v>
      </c>
      <c r="E479" s="789">
        <f t="shared" si="29"/>
        <v>572552.21605263161</v>
      </c>
      <c r="F479" s="736">
        <f t="shared" si="25"/>
        <v>11451044.32105263</v>
      </c>
      <c r="G479" s="794">
        <f t="shared" si="26"/>
        <v>1901016.9402079866</v>
      </c>
      <c r="H479" s="795">
        <f t="shared" si="27"/>
        <v>1901016.9402079866</v>
      </c>
      <c r="I479" s="792">
        <f t="shared" si="28"/>
        <v>0</v>
      </c>
      <c r="J479" s="792"/>
      <c r="K479" s="812"/>
      <c r="L479" s="796"/>
      <c r="M479" s="812"/>
      <c r="N479" s="796"/>
      <c r="O479" s="796"/>
    </row>
    <row r="480" spans="3:15">
      <c r="C480" s="788">
        <f>IF(D455="","-",+C479+1)</f>
        <v>2034</v>
      </c>
      <c r="D480" s="736">
        <f t="shared" si="24"/>
        <v>11451044.32105263</v>
      </c>
      <c r="E480" s="789">
        <f t="shared" si="29"/>
        <v>572552.21605263161</v>
      </c>
      <c r="F480" s="736">
        <f t="shared" si="25"/>
        <v>10878492.104999999</v>
      </c>
      <c r="G480" s="794">
        <f t="shared" si="26"/>
        <v>1836213.782932116</v>
      </c>
      <c r="H480" s="795">
        <f t="shared" si="27"/>
        <v>1836213.782932116</v>
      </c>
      <c r="I480" s="792">
        <f t="shared" si="28"/>
        <v>0</v>
      </c>
      <c r="J480" s="792"/>
      <c r="K480" s="812"/>
      <c r="L480" s="796"/>
      <c r="M480" s="812"/>
      <c r="N480" s="796"/>
      <c r="O480" s="796"/>
    </row>
    <row r="481" spans="3:15">
      <c r="C481" s="788">
        <f>IF(D455="","-",+C480+1)</f>
        <v>2035</v>
      </c>
      <c r="D481" s="736">
        <f t="shared" si="24"/>
        <v>10878492.104999999</v>
      </c>
      <c r="E481" s="789">
        <f t="shared" si="29"/>
        <v>572552.21605263161</v>
      </c>
      <c r="F481" s="736">
        <f t="shared" si="25"/>
        <v>10305939.888947368</v>
      </c>
      <c r="G481" s="794">
        <f t="shared" si="26"/>
        <v>1771410.6256562448</v>
      </c>
      <c r="H481" s="795">
        <f t="shared" si="27"/>
        <v>1771410.6256562448</v>
      </c>
      <c r="I481" s="792">
        <f t="shared" si="28"/>
        <v>0</v>
      </c>
      <c r="J481" s="792"/>
      <c r="K481" s="812"/>
      <c r="L481" s="796"/>
      <c r="M481" s="812"/>
      <c r="N481" s="796"/>
      <c r="O481" s="796"/>
    </row>
    <row r="482" spans="3:15">
      <c r="C482" s="788">
        <f>IF(D455="","-",+C481+1)</f>
        <v>2036</v>
      </c>
      <c r="D482" s="736">
        <f t="shared" si="24"/>
        <v>10305939.888947368</v>
      </c>
      <c r="E482" s="789">
        <f t="shared" si="29"/>
        <v>572552.21605263161</v>
      </c>
      <c r="F482" s="736">
        <f t="shared" si="25"/>
        <v>9733387.6728947368</v>
      </c>
      <c r="G482" s="794">
        <f t="shared" si="26"/>
        <v>1706607.4683803741</v>
      </c>
      <c r="H482" s="795">
        <f t="shared" si="27"/>
        <v>1706607.4683803741</v>
      </c>
      <c r="I482" s="792">
        <f t="shared" si="28"/>
        <v>0</v>
      </c>
      <c r="J482" s="792"/>
      <c r="K482" s="812"/>
      <c r="L482" s="796"/>
      <c r="M482" s="812"/>
      <c r="N482" s="796"/>
      <c r="O482" s="796"/>
    </row>
    <row r="483" spans="3:15">
      <c r="C483" s="788">
        <f>IF(D455="","-",+C482+1)</f>
        <v>2037</v>
      </c>
      <c r="D483" s="736">
        <f t="shared" si="24"/>
        <v>9733387.6728947368</v>
      </c>
      <c r="E483" s="789">
        <f t="shared" si="29"/>
        <v>572552.21605263161</v>
      </c>
      <c r="F483" s="736">
        <f t="shared" si="25"/>
        <v>9160835.4568421058</v>
      </c>
      <c r="G483" s="794">
        <f t="shared" si="26"/>
        <v>1641804.311104503</v>
      </c>
      <c r="H483" s="795">
        <f t="shared" si="27"/>
        <v>1641804.311104503</v>
      </c>
      <c r="I483" s="792">
        <f t="shared" si="28"/>
        <v>0</v>
      </c>
      <c r="J483" s="792"/>
      <c r="K483" s="812"/>
      <c r="L483" s="796"/>
      <c r="M483" s="812"/>
      <c r="N483" s="796"/>
      <c r="O483" s="796"/>
    </row>
    <row r="484" spans="3:15">
      <c r="C484" s="788">
        <f>IF(D455="","-",+C483+1)</f>
        <v>2038</v>
      </c>
      <c r="D484" s="736">
        <f t="shared" si="24"/>
        <v>9160835.4568421058</v>
      </c>
      <c r="E484" s="789">
        <f t="shared" si="29"/>
        <v>572552.21605263161</v>
      </c>
      <c r="F484" s="736">
        <f t="shared" si="25"/>
        <v>8588283.2407894749</v>
      </c>
      <c r="G484" s="794">
        <f t="shared" si="26"/>
        <v>1577001.1538286321</v>
      </c>
      <c r="H484" s="795">
        <f t="shared" si="27"/>
        <v>1577001.1538286321</v>
      </c>
      <c r="I484" s="792">
        <f t="shared" si="28"/>
        <v>0</v>
      </c>
      <c r="J484" s="792"/>
      <c r="K484" s="812"/>
      <c r="L484" s="796"/>
      <c r="M484" s="812"/>
      <c r="N484" s="796"/>
      <c r="O484" s="796"/>
    </row>
    <row r="485" spans="3:15">
      <c r="C485" s="788">
        <f>IF(D455="","-",+C484+1)</f>
        <v>2039</v>
      </c>
      <c r="D485" s="736">
        <f t="shared" si="24"/>
        <v>8588283.2407894749</v>
      </c>
      <c r="E485" s="789">
        <f t="shared" si="29"/>
        <v>572552.21605263161</v>
      </c>
      <c r="F485" s="736">
        <f t="shared" si="25"/>
        <v>8015731.0247368431</v>
      </c>
      <c r="G485" s="794">
        <f t="shared" si="26"/>
        <v>1512197.9965527612</v>
      </c>
      <c r="H485" s="795">
        <f t="shared" si="27"/>
        <v>1512197.9965527612</v>
      </c>
      <c r="I485" s="792">
        <f t="shared" si="28"/>
        <v>0</v>
      </c>
      <c r="J485" s="792"/>
      <c r="K485" s="812"/>
      <c r="L485" s="796"/>
      <c r="M485" s="812"/>
      <c r="N485" s="796"/>
      <c r="O485" s="796"/>
    </row>
    <row r="486" spans="3:15">
      <c r="C486" s="788">
        <f>IF(D455="","-",+C485+1)</f>
        <v>2040</v>
      </c>
      <c r="D486" s="736">
        <f t="shared" si="24"/>
        <v>8015731.0247368431</v>
      </c>
      <c r="E486" s="789">
        <f t="shared" si="29"/>
        <v>572552.21605263161</v>
      </c>
      <c r="F486" s="736">
        <f t="shared" si="25"/>
        <v>7443178.8086842112</v>
      </c>
      <c r="G486" s="794">
        <f t="shared" si="26"/>
        <v>1447394.8392768903</v>
      </c>
      <c r="H486" s="795">
        <f t="shared" si="27"/>
        <v>1447394.8392768903</v>
      </c>
      <c r="I486" s="792">
        <f t="shared" si="28"/>
        <v>0</v>
      </c>
      <c r="J486" s="792"/>
      <c r="K486" s="812"/>
      <c r="L486" s="796"/>
      <c r="M486" s="812"/>
      <c r="N486" s="796"/>
      <c r="O486" s="796"/>
    </row>
    <row r="487" spans="3:15">
      <c r="C487" s="788">
        <f>IF(D455="","-",+C486+1)</f>
        <v>2041</v>
      </c>
      <c r="D487" s="736">
        <f t="shared" si="24"/>
        <v>7443178.8086842112</v>
      </c>
      <c r="E487" s="789">
        <f t="shared" si="29"/>
        <v>572552.21605263161</v>
      </c>
      <c r="F487" s="736">
        <f t="shared" si="25"/>
        <v>6870626.5926315794</v>
      </c>
      <c r="G487" s="794">
        <f t="shared" si="26"/>
        <v>1382591.6820010189</v>
      </c>
      <c r="H487" s="795">
        <f t="shared" si="27"/>
        <v>1382591.6820010189</v>
      </c>
      <c r="I487" s="792">
        <f t="shared" si="28"/>
        <v>0</v>
      </c>
      <c r="J487" s="792"/>
      <c r="K487" s="812"/>
      <c r="L487" s="796"/>
      <c r="M487" s="812"/>
      <c r="N487" s="796"/>
      <c r="O487" s="796"/>
    </row>
    <row r="488" spans="3:15">
      <c r="C488" s="788">
        <f>IF(D455="","-",+C487+1)</f>
        <v>2042</v>
      </c>
      <c r="D488" s="736">
        <f t="shared" si="24"/>
        <v>6870626.5926315794</v>
      </c>
      <c r="E488" s="789">
        <f t="shared" si="29"/>
        <v>572552.21605263161</v>
      </c>
      <c r="F488" s="736">
        <f t="shared" si="25"/>
        <v>6298074.3765789475</v>
      </c>
      <c r="G488" s="794">
        <f t="shared" si="26"/>
        <v>1317788.524725148</v>
      </c>
      <c r="H488" s="795">
        <f t="shared" si="27"/>
        <v>1317788.524725148</v>
      </c>
      <c r="I488" s="792">
        <f t="shared" si="28"/>
        <v>0</v>
      </c>
      <c r="J488" s="792"/>
      <c r="K488" s="812"/>
      <c r="L488" s="796"/>
      <c r="M488" s="812"/>
      <c r="N488" s="796"/>
      <c r="O488" s="796"/>
    </row>
    <row r="489" spans="3:15">
      <c r="C489" s="788">
        <f>IF(D455="","-",+C488+1)</f>
        <v>2043</v>
      </c>
      <c r="D489" s="736">
        <f t="shared" si="24"/>
        <v>6298074.3765789475</v>
      </c>
      <c r="E489" s="789">
        <f t="shared" si="29"/>
        <v>572552.21605263161</v>
      </c>
      <c r="F489" s="736">
        <f t="shared" si="25"/>
        <v>5725522.1605263157</v>
      </c>
      <c r="G489" s="790">
        <f t="shared" si="26"/>
        <v>1252985.3674492771</v>
      </c>
      <c r="H489" s="795">
        <f t="shared" si="27"/>
        <v>1252985.3674492771</v>
      </c>
      <c r="I489" s="792">
        <f t="shared" si="28"/>
        <v>0</v>
      </c>
      <c r="J489" s="792"/>
      <c r="K489" s="812"/>
      <c r="L489" s="796"/>
      <c r="M489" s="812"/>
      <c r="N489" s="796"/>
      <c r="O489" s="796"/>
    </row>
    <row r="490" spans="3:15">
      <c r="C490" s="788">
        <f>IF(D455="","-",+C489+1)</f>
        <v>2044</v>
      </c>
      <c r="D490" s="736">
        <f t="shared" si="24"/>
        <v>5725522.1605263157</v>
      </c>
      <c r="E490" s="789">
        <f t="shared" si="29"/>
        <v>572552.21605263161</v>
      </c>
      <c r="F490" s="736">
        <f t="shared" si="25"/>
        <v>5152969.9444736838</v>
      </c>
      <c r="G490" s="794">
        <f t="shared" si="26"/>
        <v>1188182.2101734062</v>
      </c>
      <c r="H490" s="795">
        <f t="shared" si="27"/>
        <v>1188182.2101734062</v>
      </c>
      <c r="I490" s="792">
        <f t="shared" si="28"/>
        <v>0</v>
      </c>
      <c r="J490" s="792"/>
      <c r="K490" s="812"/>
      <c r="L490" s="796"/>
      <c r="M490" s="812"/>
      <c r="N490" s="796"/>
      <c r="O490" s="796"/>
    </row>
    <row r="491" spans="3:15">
      <c r="C491" s="788">
        <f>IF(D455="","-",+C490+1)</f>
        <v>2045</v>
      </c>
      <c r="D491" s="736">
        <f t="shared" si="24"/>
        <v>5152969.9444736838</v>
      </c>
      <c r="E491" s="789">
        <f t="shared" si="29"/>
        <v>572552.21605263161</v>
      </c>
      <c r="F491" s="736">
        <f t="shared" si="25"/>
        <v>4580417.728421052</v>
      </c>
      <c r="G491" s="794">
        <f t="shared" si="26"/>
        <v>1123379.0528975348</v>
      </c>
      <c r="H491" s="795">
        <f t="shared" si="27"/>
        <v>1123379.0528975348</v>
      </c>
      <c r="I491" s="792">
        <f t="shared" si="28"/>
        <v>0</v>
      </c>
      <c r="J491" s="792"/>
      <c r="K491" s="812"/>
      <c r="L491" s="796"/>
      <c r="M491" s="812"/>
      <c r="N491" s="796"/>
      <c r="O491" s="796"/>
    </row>
    <row r="492" spans="3:15">
      <c r="C492" s="788">
        <f>IF(D455="","-",+C491+1)</f>
        <v>2046</v>
      </c>
      <c r="D492" s="736">
        <f t="shared" si="24"/>
        <v>4580417.728421052</v>
      </c>
      <c r="E492" s="789">
        <f t="shared" si="29"/>
        <v>572552.21605263161</v>
      </c>
      <c r="F492" s="736">
        <f t="shared" si="25"/>
        <v>4007865.5123684201</v>
      </c>
      <c r="G492" s="794">
        <f t="shared" si="26"/>
        <v>1058575.8956216641</v>
      </c>
      <c r="H492" s="795">
        <f t="shared" si="27"/>
        <v>1058575.8956216641</v>
      </c>
      <c r="I492" s="792">
        <f t="shared" si="28"/>
        <v>0</v>
      </c>
      <c r="J492" s="792"/>
      <c r="K492" s="812"/>
      <c r="L492" s="796"/>
      <c r="M492" s="812"/>
      <c r="N492" s="796"/>
      <c r="O492" s="796"/>
    </row>
    <row r="493" spans="3:15">
      <c r="C493" s="788">
        <f>IF(D455="","-",+C492+1)</f>
        <v>2047</v>
      </c>
      <c r="D493" s="736">
        <f t="shared" si="24"/>
        <v>4007865.5123684201</v>
      </c>
      <c r="E493" s="789">
        <f t="shared" si="29"/>
        <v>572552.21605263161</v>
      </c>
      <c r="F493" s="736">
        <f t="shared" si="25"/>
        <v>3435313.2963157883</v>
      </c>
      <c r="G493" s="794">
        <f t="shared" si="26"/>
        <v>993772.73834579298</v>
      </c>
      <c r="H493" s="795">
        <f t="shared" si="27"/>
        <v>993772.73834579298</v>
      </c>
      <c r="I493" s="792">
        <f t="shared" si="28"/>
        <v>0</v>
      </c>
      <c r="J493" s="792"/>
      <c r="K493" s="812"/>
      <c r="L493" s="796"/>
      <c r="M493" s="812"/>
      <c r="N493" s="796"/>
      <c r="O493" s="796"/>
    </row>
    <row r="494" spans="3:15">
      <c r="C494" s="788">
        <f>IF(D455="","-",+C493+1)</f>
        <v>2048</v>
      </c>
      <c r="D494" s="736">
        <f t="shared" si="24"/>
        <v>3435313.2963157883</v>
      </c>
      <c r="E494" s="789">
        <f t="shared" si="29"/>
        <v>572552.21605263161</v>
      </c>
      <c r="F494" s="736">
        <f t="shared" si="25"/>
        <v>2862761.0802631564</v>
      </c>
      <c r="G494" s="794">
        <f t="shared" si="26"/>
        <v>928969.58106992196</v>
      </c>
      <c r="H494" s="795">
        <f t="shared" si="27"/>
        <v>928969.58106992196</v>
      </c>
      <c r="I494" s="792">
        <f t="shared" si="28"/>
        <v>0</v>
      </c>
      <c r="J494" s="792"/>
      <c r="K494" s="812"/>
      <c r="L494" s="796"/>
      <c r="M494" s="812"/>
      <c r="N494" s="796"/>
      <c r="O494" s="796"/>
    </row>
    <row r="495" spans="3:15">
      <c r="C495" s="788">
        <f>IF(D455="","-",+C494+1)</f>
        <v>2049</v>
      </c>
      <c r="D495" s="736">
        <f t="shared" si="24"/>
        <v>2862761.0802631564</v>
      </c>
      <c r="E495" s="789">
        <f t="shared" si="29"/>
        <v>572552.21605263161</v>
      </c>
      <c r="F495" s="736">
        <f t="shared" si="25"/>
        <v>2290208.8642105246</v>
      </c>
      <c r="G495" s="794">
        <f t="shared" si="26"/>
        <v>864166.42379405093</v>
      </c>
      <c r="H495" s="795">
        <f t="shared" si="27"/>
        <v>864166.42379405093</v>
      </c>
      <c r="I495" s="792">
        <f t="shared" si="28"/>
        <v>0</v>
      </c>
      <c r="J495" s="792"/>
      <c r="K495" s="812"/>
      <c r="L495" s="796"/>
      <c r="M495" s="812"/>
      <c r="N495" s="796"/>
      <c r="O495" s="796"/>
    </row>
    <row r="496" spans="3:15">
      <c r="C496" s="788">
        <f>IF(D455="","-",+C495+1)</f>
        <v>2050</v>
      </c>
      <c r="D496" s="736">
        <f t="shared" si="24"/>
        <v>2290208.8642105246</v>
      </c>
      <c r="E496" s="789">
        <f t="shared" si="29"/>
        <v>572552.21605263161</v>
      </c>
      <c r="F496" s="736">
        <f t="shared" si="25"/>
        <v>1717656.648157893</v>
      </c>
      <c r="G496" s="794">
        <f t="shared" si="26"/>
        <v>799363.26651817991</v>
      </c>
      <c r="H496" s="795">
        <f t="shared" si="27"/>
        <v>799363.26651817991</v>
      </c>
      <c r="I496" s="792">
        <f t="shared" si="28"/>
        <v>0</v>
      </c>
      <c r="J496" s="792"/>
      <c r="K496" s="812"/>
      <c r="L496" s="796"/>
      <c r="M496" s="812"/>
      <c r="N496" s="796"/>
      <c r="O496" s="796"/>
    </row>
    <row r="497" spans="3:15">
      <c r="C497" s="788">
        <f>IF(D455="","-",+C496+1)</f>
        <v>2051</v>
      </c>
      <c r="D497" s="736">
        <f t="shared" si="24"/>
        <v>1717656.648157893</v>
      </c>
      <c r="E497" s="789">
        <f t="shared" si="29"/>
        <v>572552.21605263161</v>
      </c>
      <c r="F497" s="736">
        <f t="shared" si="25"/>
        <v>1145104.4321052614</v>
      </c>
      <c r="G497" s="794">
        <f t="shared" si="26"/>
        <v>734560.10924230888</v>
      </c>
      <c r="H497" s="795">
        <f t="shared" si="27"/>
        <v>734560.10924230888</v>
      </c>
      <c r="I497" s="792">
        <f t="shared" si="28"/>
        <v>0</v>
      </c>
      <c r="J497" s="792"/>
      <c r="K497" s="812"/>
      <c r="L497" s="796"/>
      <c r="M497" s="812"/>
      <c r="N497" s="796"/>
      <c r="O497" s="796"/>
    </row>
    <row r="498" spans="3:15">
      <c r="C498" s="788">
        <f>IF(D455="","-",+C497+1)</f>
        <v>2052</v>
      </c>
      <c r="D498" s="736">
        <f t="shared" si="24"/>
        <v>1145104.4321052614</v>
      </c>
      <c r="E498" s="789">
        <f t="shared" si="29"/>
        <v>572552.21605263161</v>
      </c>
      <c r="F498" s="736">
        <f t="shared" si="25"/>
        <v>572552.21605262975</v>
      </c>
      <c r="G498" s="794">
        <f t="shared" si="26"/>
        <v>669756.95196643786</v>
      </c>
      <c r="H498" s="795">
        <f t="shared" si="27"/>
        <v>669756.95196643786</v>
      </c>
      <c r="I498" s="792">
        <f t="shared" si="28"/>
        <v>0</v>
      </c>
      <c r="J498" s="792"/>
      <c r="K498" s="812"/>
      <c r="L498" s="796"/>
      <c r="M498" s="812"/>
      <c r="N498" s="796"/>
      <c r="O498" s="796"/>
    </row>
    <row r="499" spans="3:15">
      <c r="C499" s="788">
        <f>IF(D455="","-",+C498+1)</f>
        <v>2053</v>
      </c>
      <c r="D499" s="736">
        <f t="shared" si="24"/>
        <v>572552.21605262975</v>
      </c>
      <c r="E499" s="789">
        <f t="shared" si="29"/>
        <v>572552.21605262975</v>
      </c>
      <c r="F499" s="736">
        <f t="shared" si="25"/>
        <v>0</v>
      </c>
      <c r="G499" s="794">
        <f t="shared" si="26"/>
        <v>604953.79469056521</v>
      </c>
      <c r="H499" s="795">
        <f t="shared" si="27"/>
        <v>604953.79469056521</v>
      </c>
      <c r="I499" s="792">
        <f t="shared" si="28"/>
        <v>0</v>
      </c>
      <c r="J499" s="792"/>
      <c r="K499" s="812"/>
      <c r="L499" s="796"/>
      <c r="M499" s="812"/>
      <c r="N499" s="796"/>
      <c r="O499" s="796"/>
    </row>
    <row r="500" spans="3:15">
      <c r="C500" s="788">
        <f>IF(D455="","-",+C499+1)</f>
        <v>2054</v>
      </c>
      <c r="D500" s="736">
        <f t="shared" si="24"/>
        <v>0</v>
      </c>
      <c r="E500" s="789">
        <f t="shared" si="29"/>
        <v>0</v>
      </c>
      <c r="F500" s="736">
        <f t="shared" si="25"/>
        <v>0</v>
      </c>
      <c r="G500" s="794">
        <f t="shared" si="26"/>
        <v>0</v>
      </c>
      <c r="H500" s="795">
        <f t="shared" si="27"/>
        <v>0</v>
      </c>
      <c r="I500" s="792">
        <f t="shared" si="28"/>
        <v>0</v>
      </c>
      <c r="J500" s="792"/>
      <c r="K500" s="812"/>
      <c r="L500" s="796"/>
      <c r="M500" s="812"/>
      <c r="N500" s="796"/>
      <c r="O500" s="796"/>
    </row>
    <row r="501" spans="3:15">
      <c r="C501" s="788">
        <f>IF(D455="","-",+C500+1)</f>
        <v>2055</v>
      </c>
      <c r="D501" s="736">
        <f t="shared" si="24"/>
        <v>0</v>
      </c>
      <c r="E501" s="789">
        <f t="shared" si="29"/>
        <v>0</v>
      </c>
      <c r="F501" s="736">
        <f t="shared" si="25"/>
        <v>0</v>
      </c>
      <c r="G501" s="794">
        <f t="shared" si="26"/>
        <v>0</v>
      </c>
      <c r="H501" s="795">
        <f t="shared" si="27"/>
        <v>0</v>
      </c>
      <c r="I501" s="792">
        <f t="shared" si="28"/>
        <v>0</v>
      </c>
      <c r="J501" s="792"/>
      <c r="K501" s="812"/>
      <c r="L501" s="796"/>
      <c r="M501" s="812"/>
      <c r="N501" s="796"/>
      <c r="O501" s="796"/>
    </row>
    <row r="502" spans="3:15">
      <c r="C502" s="788">
        <f>IF(D455="","-",+C501+1)</f>
        <v>2056</v>
      </c>
      <c r="D502" s="736">
        <f t="shared" si="24"/>
        <v>0</v>
      </c>
      <c r="E502" s="789">
        <f t="shared" si="29"/>
        <v>0</v>
      </c>
      <c r="F502" s="736">
        <f t="shared" si="25"/>
        <v>0</v>
      </c>
      <c r="G502" s="794">
        <f t="shared" si="26"/>
        <v>0</v>
      </c>
      <c r="H502" s="795">
        <f t="shared" si="27"/>
        <v>0</v>
      </c>
      <c r="I502" s="792">
        <f t="shared" si="28"/>
        <v>0</v>
      </c>
      <c r="J502" s="792"/>
      <c r="K502" s="812"/>
      <c r="L502" s="796"/>
      <c r="M502" s="812"/>
      <c r="N502" s="796"/>
      <c r="O502" s="796"/>
    </row>
    <row r="503" spans="3:15">
      <c r="C503" s="788">
        <f>IF(D455="","-",+C502+1)</f>
        <v>2057</v>
      </c>
      <c r="D503" s="736">
        <f t="shared" si="24"/>
        <v>0</v>
      </c>
      <c r="E503" s="789">
        <f t="shared" si="29"/>
        <v>0</v>
      </c>
      <c r="F503" s="736">
        <f t="shared" si="25"/>
        <v>0</v>
      </c>
      <c r="G503" s="794">
        <f t="shared" si="26"/>
        <v>0</v>
      </c>
      <c r="H503" s="795">
        <f t="shared" si="27"/>
        <v>0</v>
      </c>
      <c r="I503" s="792">
        <f t="shared" si="28"/>
        <v>0</v>
      </c>
      <c r="J503" s="792"/>
      <c r="K503" s="812"/>
      <c r="L503" s="796"/>
      <c r="M503" s="812"/>
      <c r="N503" s="796"/>
      <c r="O503" s="796"/>
    </row>
    <row r="504" spans="3:15">
      <c r="C504" s="788">
        <f>IF(D455="","-",+C503+1)</f>
        <v>2058</v>
      </c>
      <c r="D504" s="736">
        <f t="shared" si="24"/>
        <v>0</v>
      </c>
      <c r="E504" s="789">
        <f t="shared" si="29"/>
        <v>0</v>
      </c>
      <c r="F504" s="736">
        <f t="shared" si="25"/>
        <v>0</v>
      </c>
      <c r="G504" s="794">
        <f t="shared" si="26"/>
        <v>0</v>
      </c>
      <c r="H504" s="795">
        <f t="shared" si="27"/>
        <v>0</v>
      </c>
      <c r="I504" s="792">
        <f t="shared" si="28"/>
        <v>0</v>
      </c>
      <c r="J504" s="792"/>
      <c r="K504" s="812"/>
      <c r="L504" s="796"/>
      <c r="M504" s="812"/>
      <c r="N504" s="796"/>
      <c r="O504" s="796"/>
    </row>
    <row r="505" spans="3:15">
      <c r="C505" s="788">
        <f>IF(D455="","-",+C504+1)</f>
        <v>2059</v>
      </c>
      <c r="D505" s="736">
        <f t="shared" si="24"/>
        <v>0</v>
      </c>
      <c r="E505" s="789">
        <f t="shared" si="29"/>
        <v>0</v>
      </c>
      <c r="F505" s="736">
        <f t="shared" si="25"/>
        <v>0</v>
      </c>
      <c r="G505" s="794">
        <f t="shared" si="26"/>
        <v>0</v>
      </c>
      <c r="H505" s="795">
        <f t="shared" si="27"/>
        <v>0</v>
      </c>
      <c r="I505" s="792">
        <f t="shared" si="28"/>
        <v>0</v>
      </c>
      <c r="J505" s="792"/>
      <c r="K505" s="812"/>
      <c r="L505" s="796"/>
      <c r="M505" s="812"/>
      <c r="N505" s="796"/>
      <c r="O505" s="796"/>
    </row>
    <row r="506" spans="3:15">
      <c r="C506" s="788">
        <f>IF(D455="","-",+C505+1)</f>
        <v>2060</v>
      </c>
      <c r="D506" s="736">
        <f t="shared" si="24"/>
        <v>0</v>
      </c>
      <c r="E506" s="789">
        <f t="shared" si="29"/>
        <v>0</v>
      </c>
      <c r="F506" s="736">
        <f t="shared" si="25"/>
        <v>0</v>
      </c>
      <c r="G506" s="794">
        <f t="shared" si="26"/>
        <v>0</v>
      </c>
      <c r="H506" s="795">
        <f t="shared" si="27"/>
        <v>0</v>
      </c>
      <c r="I506" s="792">
        <f t="shared" si="28"/>
        <v>0</v>
      </c>
      <c r="J506" s="792"/>
      <c r="K506" s="812"/>
      <c r="L506" s="796"/>
      <c r="M506" s="812"/>
      <c r="N506" s="796"/>
      <c r="O506" s="796"/>
    </row>
    <row r="507" spans="3:15">
      <c r="C507" s="788">
        <f>IF(D455="","-",+C506+1)</f>
        <v>2061</v>
      </c>
      <c r="D507" s="736">
        <f t="shared" si="24"/>
        <v>0</v>
      </c>
      <c r="E507" s="789">
        <f t="shared" si="29"/>
        <v>0</v>
      </c>
      <c r="F507" s="736">
        <f t="shared" si="25"/>
        <v>0</v>
      </c>
      <c r="G507" s="794">
        <f t="shared" si="26"/>
        <v>0</v>
      </c>
      <c r="H507" s="795">
        <f t="shared" si="27"/>
        <v>0</v>
      </c>
      <c r="I507" s="792">
        <f t="shared" si="28"/>
        <v>0</v>
      </c>
      <c r="J507" s="792"/>
      <c r="K507" s="812"/>
      <c r="L507" s="796"/>
      <c r="M507" s="812"/>
      <c r="N507" s="796"/>
      <c r="O507" s="796"/>
    </row>
    <row r="508" spans="3:15">
      <c r="C508" s="788">
        <f>IF(D455="","-",+C507+1)</f>
        <v>2062</v>
      </c>
      <c r="D508" s="736">
        <f t="shared" si="24"/>
        <v>0</v>
      </c>
      <c r="E508" s="789">
        <f t="shared" si="29"/>
        <v>0</v>
      </c>
      <c r="F508" s="736">
        <f t="shared" si="25"/>
        <v>0</v>
      </c>
      <c r="G508" s="794">
        <f t="shared" si="26"/>
        <v>0</v>
      </c>
      <c r="H508" s="795">
        <f t="shared" si="27"/>
        <v>0</v>
      </c>
      <c r="I508" s="792">
        <f t="shared" si="28"/>
        <v>0</v>
      </c>
      <c r="J508" s="792"/>
      <c r="K508" s="812"/>
      <c r="L508" s="796"/>
      <c r="M508" s="812"/>
      <c r="N508" s="796"/>
      <c r="O508" s="796"/>
    </row>
    <row r="509" spans="3:15">
      <c r="C509" s="788">
        <f>IF(D455="","-",+C508+1)</f>
        <v>2063</v>
      </c>
      <c r="D509" s="736">
        <f t="shared" si="24"/>
        <v>0</v>
      </c>
      <c r="E509" s="789">
        <f t="shared" si="29"/>
        <v>0</v>
      </c>
      <c r="F509" s="736">
        <f t="shared" si="25"/>
        <v>0</v>
      </c>
      <c r="G509" s="794">
        <f t="shared" si="26"/>
        <v>0</v>
      </c>
      <c r="H509" s="795">
        <f t="shared" si="27"/>
        <v>0</v>
      </c>
      <c r="I509" s="792">
        <f t="shared" si="28"/>
        <v>0</v>
      </c>
      <c r="J509" s="792"/>
      <c r="K509" s="812"/>
      <c r="L509" s="796"/>
      <c r="M509" s="812"/>
      <c r="N509" s="796"/>
      <c r="O509" s="796"/>
    </row>
    <row r="510" spans="3:15">
      <c r="C510" s="788">
        <f>IF(D455="","-",+C509+1)</f>
        <v>2064</v>
      </c>
      <c r="D510" s="736">
        <f t="shared" si="24"/>
        <v>0</v>
      </c>
      <c r="E510" s="789">
        <f t="shared" si="29"/>
        <v>0</v>
      </c>
      <c r="F510" s="736">
        <f t="shared" si="25"/>
        <v>0</v>
      </c>
      <c r="G510" s="794">
        <f t="shared" si="26"/>
        <v>0</v>
      </c>
      <c r="H510" s="795">
        <f t="shared" si="27"/>
        <v>0</v>
      </c>
      <c r="I510" s="792">
        <f t="shared" si="28"/>
        <v>0</v>
      </c>
      <c r="J510" s="792"/>
      <c r="K510" s="812"/>
      <c r="L510" s="796"/>
      <c r="M510" s="812"/>
      <c r="N510" s="796"/>
      <c r="O510" s="796"/>
    </row>
    <row r="511" spans="3:15">
      <c r="C511" s="788">
        <f>IF(D455="","-",+C510+1)</f>
        <v>2065</v>
      </c>
      <c r="D511" s="736">
        <f t="shared" si="24"/>
        <v>0</v>
      </c>
      <c r="E511" s="789">
        <f t="shared" si="29"/>
        <v>0</v>
      </c>
      <c r="F511" s="736">
        <f t="shared" si="25"/>
        <v>0</v>
      </c>
      <c r="G511" s="794">
        <f t="shared" si="26"/>
        <v>0</v>
      </c>
      <c r="H511" s="795">
        <f t="shared" si="27"/>
        <v>0</v>
      </c>
      <c r="I511" s="792">
        <f t="shared" si="28"/>
        <v>0</v>
      </c>
      <c r="J511" s="792"/>
      <c r="K511" s="812"/>
      <c r="L511" s="796"/>
      <c r="M511" s="812"/>
      <c r="N511" s="796"/>
      <c r="O511" s="796"/>
    </row>
    <row r="512" spans="3:15">
      <c r="C512" s="788">
        <f>IF(D455="","-",+C511+1)</f>
        <v>2066</v>
      </c>
      <c r="D512" s="736">
        <f t="shared" si="24"/>
        <v>0</v>
      </c>
      <c r="E512" s="789">
        <f t="shared" si="29"/>
        <v>0</v>
      </c>
      <c r="F512" s="736">
        <f t="shared" si="25"/>
        <v>0</v>
      </c>
      <c r="G512" s="794">
        <f t="shared" si="26"/>
        <v>0</v>
      </c>
      <c r="H512" s="795">
        <f t="shared" si="27"/>
        <v>0</v>
      </c>
      <c r="I512" s="792">
        <f t="shared" si="28"/>
        <v>0</v>
      </c>
      <c r="J512" s="792"/>
      <c r="K512" s="812"/>
      <c r="L512" s="796"/>
      <c r="M512" s="812"/>
      <c r="N512" s="796"/>
      <c r="O512" s="796"/>
    </row>
    <row r="513" spans="3:15">
      <c r="C513" s="788">
        <f>IF(D455="","-",+C512+1)</f>
        <v>2067</v>
      </c>
      <c r="D513" s="736">
        <f t="shared" si="24"/>
        <v>0</v>
      </c>
      <c r="E513" s="789">
        <f t="shared" si="29"/>
        <v>0</v>
      </c>
      <c r="F513" s="736">
        <f t="shared" si="25"/>
        <v>0</v>
      </c>
      <c r="G513" s="794">
        <f t="shared" si="26"/>
        <v>0</v>
      </c>
      <c r="H513" s="795">
        <f t="shared" si="27"/>
        <v>0</v>
      </c>
      <c r="I513" s="792">
        <f t="shared" si="28"/>
        <v>0</v>
      </c>
      <c r="J513" s="792"/>
      <c r="K513" s="812"/>
      <c r="L513" s="796"/>
      <c r="M513" s="812"/>
      <c r="N513" s="796"/>
      <c r="O513" s="796"/>
    </row>
    <row r="514" spans="3:15">
      <c r="C514" s="788">
        <f>IF(D455="","-",+C513+1)</f>
        <v>2068</v>
      </c>
      <c r="D514" s="736">
        <f t="shared" si="24"/>
        <v>0</v>
      </c>
      <c r="E514" s="789">
        <f t="shared" si="29"/>
        <v>0</v>
      </c>
      <c r="F514" s="736">
        <f t="shared" si="25"/>
        <v>0</v>
      </c>
      <c r="G514" s="794">
        <f t="shared" si="26"/>
        <v>0</v>
      </c>
      <c r="H514" s="795">
        <f t="shared" si="27"/>
        <v>0</v>
      </c>
      <c r="I514" s="792">
        <f t="shared" si="28"/>
        <v>0</v>
      </c>
      <c r="J514" s="792"/>
      <c r="K514" s="812"/>
      <c r="L514" s="796"/>
      <c r="M514" s="812"/>
      <c r="N514" s="796"/>
      <c r="O514" s="796"/>
    </row>
    <row r="515" spans="3:15">
      <c r="C515" s="788">
        <f>IF(D455="","-",+C514+1)</f>
        <v>2069</v>
      </c>
      <c r="D515" s="736">
        <f t="shared" si="24"/>
        <v>0</v>
      </c>
      <c r="E515" s="789">
        <f t="shared" si="29"/>
        <v>0</v>
      </c>
      <c r="F515" s="736">
        <f t="shared" si="25"/>
        <v>0</v>
      </c>
      <c r="G515" s="794">
        <f t="shared" si="26"/>
        <v>0</v>
      </c>
      <c r="H515" s="795">
        <f t="shared" si="27"/>
        <v>0</v>
      </c>
      <c r="I515" s="792">
        <f t="shared" si="28"/>
        <v>0</v>
      </c>
      <c r="J515" s="792"/>
      <c r="K515" s="812"/>
      <c r="L515" s="796"/>
      <c r="M515" s="812"/>
      <c r="N515" s="796"/>
      <c r="O515" s="796"/>
    </row>
    <row r="516" spans="3:15">
      <c r="C516" s="788">
        <f>IF(D455="","-",+C515+1)</f>
        <v>2070</v>
      </c>
      <c r="D516" s="736">
        <f t="shared" si="24"/>
        <v>0</v>
      </c>
      <c r="E516" s="789">
        <f t="shared" si="29"/>
        <v>0</v>
      </c>
      <c r="F516" s="736">
        <f t="shared" si="25"/>
        <v>0</v>
      </c>
      <c r="G516" s="794">
        <f t="shared" si="26"/>
        <v>0</v>
      </c>
      <c r="H516" s="795">
        <f t="shared" si="27"/>
        <v>0</v>
      </c>
      <c r="I516" s="792">
        <f t="shared" si="28"/>
        <v>0</v>
      </c>
      <c r="J516" s="792"/>
      <c r="K516" s="812"/>
      <c r="L516" s="796"/>
      <c r="M516" s="812"/>
      <c r="N516" s="796"/>
      <c r="O516" s="796"/>
    </row>
    <row r="517" spans="3:15">
      <c r="C517" s="788">
        <f>IF(D455="","-",+C516+1)</f>
        <v>2071</v>
      </c>
      <c r="D517" s="736">
        <f t="shared" si="24"/>
        <v>0</v>
      </c>
      <c r="E517" s="789">
        <f t="shared" si="29"/>
        <v>0</v>
      </c>
      <c r="F517" s="736">
        <f t="shared" si="25"/>
        <v>0</v>
      </c>
      <c r="G517" s="794">
        <f t="shared" si="26"/>
        <v>0</v>
      </c>
      <c r="H517" s="795">
        <f t="shared" si="27"/>
        <v>0</v>
      </c>
      <c r="I517" s="792">
        <f t="shared" si="28"/>
        <v>0</v>
      </c>
      <c r="J517" s="792"/>
      <c r="K517" s="812"/>
      <c r="L517" s="796"/>
      <c r="M517" s="812"/>
      <c r="N517" s="796"/>
      <c r="O517" s="796"/>
    </row>
    <row r="518" spans="3:15">
      <c r="C518" s="788">
        <f>IF(D455="","-",+C517+1)</f>
        <v>2072</v>
      </c>
      <c r="D518" s="736">
        <f t="shared" si="24"/>
        <v>0</v>
      </c>
      <c r="E518" s="789">
        <f t="shared" si="29"/>
        <v>0</v>
      </c>
      <c r="F518" s="736">
        <f t="shared" si="25"/>
        <v>0</v>
      </c>
      <c r="G518" s="794">
        <f t="shared" si="26"/>
        <v>0</v>
      </c>
      <c r="H518" s="795">
        <f t="shared" si="27"/>
        <v>0</v>
      </c>
      <c r="I518" s="792">
        <f t="shared" si="28"/>
        <v>0</v>
      </c>
      <c r="J518" s="792"/>
      <c r="K518" s="812"/>
      <c r="L518" s="796"/>
      <c r="M518" s="812"/>
      <c r="N518" s="796"/>
      <c r="O518" s="796"/>
    </row>
    <row r="519" spans="3:15">
      <c r="C519" s="788">
        <f>IF(D455="","-",+C518+1)</f>
        <v>2073</v>
      </c>
      <c r="D519" s="736">
        <f t="shared" si="24"/>
        <v>0</v>
      </c>
      <c r="E519" s="789">
        <f t="shared" si="29"/>
        <v>0</v>
      </c>
      <c r="F519" s="736">
        <f t="shared" si="25"/>
        <v>0</v>
      </c>
      <c r="G519" s="794">
        <f t="shared" si="26"/>
        <v>0</v>
      </c>
      <c r="H519" s="795">
        <f t="shared" si="27"/>
        <v>0</v>
      </c>
      <c r="I519" s="792">
        <f t="shared" si="28"/>
        <v>0</v>
      </c>
      <c r="J519" s="792"/>
      <c r="K519" s="812"/>
      <c r="L519" s="796"/>
      <c r="M519" s="812"/>
      <c r="N519" s="796"/>
      <c r="O519" s="796"/>
    </row>
    <row r="520" spans="3:15" ht="13.5" thickBot="1">
      <c r="C520" s="798">
        <f>IF(D455="","-",+C519+1)</f>
        <v>2074</v>
      </c>
      <c r="D520" s="799">
        <f t="shared" si="24"/>
        <v>0</v>
      </c>
      <c r="E520" s="800">
        <f t="shared" si="29"/>
        <v>0</v>
      </c>
      <c r="F520" s="799">
        <f t="shared" si="25"/>
        <v>0</v>
      </c>
      <c r="G520" s="801">
        <f t="shared" si="26"/>
        <v>0</v>
      </c>
      <c r="H520" s="801">
        <f t="shared" si="27"/>
        <v>0</v>
      </c>
      <c r="I520" s="802">
        <f t="shared" si="28"/>
        <v>0</v>
      </c>
      <c r="J520" s="792"/>
      <c r="K520" s="813"/>
      <c r="L520" s="803"/>
      <c r="M520" s="813"/>
      <c r="N520" s="803"/>
      <c r="O520" s="803"/>
    </row>
    <row r="521" spans="3:15">
      <c r="C521" s="736" t="s">
        <v>83</v>
      </c>
      <c r="D521" s="730"/>
      <c r="E521" s="730">
        <f>SUM(E461:E520)</f>
        <v>21756984.210000001</v>
      </c>
      <c r="F521" s="730"/>
      <c r="G521" s="730">
        <f>SUM(G461:G520)</f>
        <v>71007383.739661932</v>
      </c>
      <c r="H521" s="730">
        <f>SUM(H461:H520)</f>
        <v>71007383.739661932</v>
      </c>
      <c r="I521" s="730">
        <f>SUM(I461:I520)</f>
        <v>0</v>
      </c>
      <c r="J521" s="730"/>
      <c r="K521" s="730"/>
      <c r="L521" s="730"/>
      <c r="M521" s="730"/>
      <c r="N521" s="730"/>
      <c r="O521" s="314"/>
    </row>
    <row r="522" spans="3:15">
      <c r="D522" s="538"/>
      <c r="E522" s="314"/>
      <c r="F522" s="314"/>
      <c r="G522" s="314"/>
      <c r="H522" s="708"/>
      <c r="I522" s="708"/>
      <c r="J522" s="730"/>
      <c r="K522" s="708"/>
      <c r="L522" s="708"/>
      <c r="M522" s="708"/>
      <c r="N522" s="708"/>
      <c r="O522" s="314"/>
    </row>
    <row r="523" spans="3:15">
      <c r="C523" s="314" t="s">
        <v>13</v>
      </c>
      <c r="D523" s="538"/>
      <c r="E523" s="314"/>
      <c r="F523" s="314"/>
      <c r="G523" s="314"/>
      <c r="H523" s="708"/>
      <c r="I523" s="708"/>
      <c r="J523" s="730"/>
      <c r="K523" s="708"/>
      <c r="L523" s="708"/>
      <c r="M523" s="708"/>
      <c r="N523" s="708"/>
      <c r="O523" s="314"/>
    </row>
    <row r="524" spans="3:15">
      <c r="C524" s="314"/>
      <c r="D524" s="538"/>
      <c r="E524" s="314"/>
      <c r="F524" s="314"/>
      <c r="G524" s="314"/>
      <c r="H524" s="708"/>
      <c r="I524" s="708"/>
      <c r="J524" s="730"/>
      <c r="K524" s="708"/>
      <c r="L524" s="708"/>
      <c r="M524" s="708"/>
      <c r="N524" s="708"/>
      <c r="O524" s="314"/>
    </row>
    <row r="525" spans="3:15">
      <c r="C525" s="749" t="s">
        <v>14</v>
      </c>
      <c r="D525" s="736"/>
      <c r="E525" s="736"/>
      <c r="F525" s="736"/>
      <c r="G525" s="730"/>
      <c r="H525" s="730"/>
      <c r="I525" s="804"/>
      <c r="J525" s="804"/>
      <c r="K525" s="804"/>
      <c r="L525" s="804"/>
      <c r="M525" s="804"/>
      <c r="N525" s="804"/>
      <c r="O525" s="314"/>
    </row>
    <row r="526" spans="3:15">
      <c r="C526" s="735" t="s">
        <v>263</v>
      </c>
      <c r="D526" s="736"/>
      <c r="E526" s="736"/>
      <c r="F526" s="736"/>
      <c r="G526" s="730"/>
      <c r="H526" s="730"/>
      <c r="I526" s="804"/>
      <c r="J526" s="804"/>
      <c r="K526" s="804"/>
      <c r="L526" s="804"/>
      <c r="M526" s="804"/>
      <c r="N526" s="804"/>
      <c r="O526" s="314"/>
    </row>
    <row r="527" spans="3:15">
      <c r="C527" s="735" t="s">
        <v>84</v>
      </c>
      <c r="D527" s="736"/>
      <c r="E527" s="736"/>
      <c r="F527" s="736"/>
      <c r="G527" s="730"/>
      <c r="H527" s="730"/>
      <c r="I527" s="804"/>
      <c r="J527" s="804"/>
      <c r="K527" s="804"/>
      <c r="L527" s="804"/>
      <c r="M527" s="804"/>
      <c r="N527" s="804"/>
      <c r="O527" s="314"/>
    </row>
    <row r="528" spans="3:15">
      <c r="C528" s="735"/>
      <c r="D528" s="736"/>
      <c r="E528" s="736"/>
      <c r="F528" s="736"/>
      <c r="G528" s="730"/>
      <c r="H528" s="730"/>
      <c r="I528" s="804"/>
      <c r="J528" s="804"/>
      <c r="K528" s="804"/>
      <c r="L528" s="804"/>
      <c r="M528" s="804"/>
      <c r="N528" s="804"/>
      <c r="O528" s="314"/>
    </row>
    <row r="529" spans="1:16">
      <c r="C529" s="1526" t="s">
        <v>6</v>
      </c>
      <c r="D529" s="1526"/>
      <c r="E529" s="1526"/>
      <c r="F529" s="1526"/>
      <c r="G529" s="1526"/>
      <c r="H529" s="1526"/>
      <c r="I529" s="1526"/>
      <c r="J529" s="1526"/>
      <c r="K529" s="1526"/>
      <c r="L529" s="1526"/>
      <c r="M529" s="1526"/>
      <c r="N529" s="1526"/>
      <c r="O529" s="1526"/>
    </row>
    <row r="530" spans="1:16">
      <c r="C530" s="1526"/>
      <c r="D530" s="1526"/>
      <c r="E530" s="1526"/>
      <c r="F530" s="1526"/>
      <c r="G530" s="1526"/>
      <c r="H530" s="1526"/>
      <c r="I530" s="1526"/>
      <c r="J530" s="1526"/>
      <c r="K530" s="1526"/>
      <c r="L530" s="1526"/>
      <c r="M530" s="1526"/>
      <c r="N530" s="1526"/>
      <c r="O530" s="1526"/>
    </row>
    <row r="531" spans="1:16">
      <c r="C531" s="735"/>
      <c r="D531" s="736"/>
      <c r="E531" s="736"/>
      <c r="F531" s="736"/>
      <c r="G531" s="730"/>
      <c r="H531" s="730"/>
    </row>
    <row r="532" spans="1:16" ht="20.25">
      <c r="A532" s="737" t="str">
        <f>""&amp;A456&amp;" Worksheet J -  ATRR PROJECTED Calculation for PJM Projects Charged to Benefiting Zones"</f>
        <v xml:space="preserve"> Worksheet J -  ATRR PROJECTED Calculation for PJM Projects Charged to Benefiting Zones</v>
      </c>
      <c r="B532" s="348"/>
      <c r="C532" s="725"/>
      <c r="D532" s="538"/>
      <c r="E532" s="314"/>
      <c r="F532" s="707"/>
      <c r="G532" s="314"/>
      <c r="H532" s="708"/>
      <c r="K532" s="564"/>
      <c r="L532" s="564"/>
      <c r="M532" s="564"/>
      <c r="N532" s="653" t="str">
        <f>"Page "&amp;SUM(P$8:P532)&amp;" of "</f>
        <v xml:space="preserve">Page 7 of </v>
      </c>
      <c r="O532" s="654">
        <f>COUNT(P$8:P$56653)</f>
        <v>12</v>
      </c>
      <c r="P532" s="738">
        <v>1</v>
      </c>
    </row>
    <row r="533" spans="1:16">
      <c r="B533" s="348"/>
      <c r="C533" s="314"/>
      <c r="D533" s="538"/>
      <c r="E533" s="314"/>
      <c r="F533" s="314"/>
      <c r="G533" s="314"/>
      <c r="H533" s="708"/>
      <c r="I533" s="314"/>
      <c r="J533" s="427"/>
      <c r="K533" s="314"/>
      <c r="L533" s="314"/>
      <c r="M533" s="314"/>
      <c r="N533" s="314"/>
      <c r="O533" s="314"/>
      <c r="P533" s="427"/>
    </row>
    <row r="534" spans="1:16" ht="18">
      <c r="B534" s="657" t="s">
        <v>464</v>
      </c>
      <c r="C534" s="739" t="s">
        <v>85</v>
      </c>
      <c r="D534" s="538"/>
      <c r="E534" s="314"/>
      <c r="F534" s="314"/>
      <c r="G534" s="314"/>
      <c r="H534" s="708"/>
      <c r="I534" s="708"/>
      <c r="J534" s="730"/>
      <c r="K534" s="708"/>
      <c r="L534" s="708"/>
      <c r="M534" s="708"/>
      <c r="N534" s="708"/>
      <c r="O534" s="314"/>
    </row>
    <row r="535" spans="1:16" ht="18.75">
      <c r="B535" s="657"/>
      <c r="C535" s="656"/>
      <c r="D535" s="538"/>
      <c r="E535" s="314"/>
      <c r="F535" s="314"/>
      <c r="G535" s="314"/>
      <c r="H535" s="708"/>
      <c r="I535" s="708"/>
      <c r="J535" s="730"/>
      <c r="K535" s="708"/>
      <c r="L535" s="708"/>
      <c r="M535" s="708"/>
      <c r="N535" s="708"/>
      <c r="O535" s="314"/>
    </row>
    <row r="536" spans="1:16" ht="18.75">
      <c r="B536" s="657"/>
      <c r="C536" s="656" t="s">
        <v>86</v>
      </c>
      <c r="D536" s="538"/>
      <c r="E536" s="314"/>
      <c r="F536" s="314"/>
      <c r="G536" s="314"/>
      <c r="H536" s="708"/>
      <c r="I536" s="708"/>
      <c r="J536" s="730"/>
      <c r="K536" s="708"/>
      <c r="L536" s="708"/>
      <c r="M536" s="708"/>
      <c r="N536" s="708"/>
      <c r="O536" s="314"/>
    </row>
    <row r="537" spans="1:16" ht="15.75" thickBot="1">
      <c r="C537" s="240"/>
      <c r="D537" s="538"/>
      <c r="E537" s="314"/>
      <c r="F537" s="314"/>
      <c r="G537" s="314"/>
      <c r="H537" s="708"/>
      <c r="I537" s="708"/>
      <c r="J537" s="730"/>
      <c r="K537" s="708"/>
      <c r="L537" s="708"/>
      <c r="M537" s="708"/>
      <c r="N537" s="708"/>
      <c r="O537" s="314"/>
    </row>
    <row r="538" spans="1:16" ht="15.75">
      <c r="C538" s="659" t="s">
        <v>87</v>
      </c>
      <c r="D538" s="538"/>
      <c r="E538" s="314"/>
      <c r="F538" s="314"/>
      <c r="G538" s="806"/>
      <c r="H538" s="314" t="s">
        <v>66</v>
      </c>
      <c r="I538" s="314"/>
      <c r="J538" s="427"/>
      <c r="K538" s="740" t="s">
        <v>91</v>
      </c>
      <c r="L538" s="741"/>
      <c r="M538" s="742"/>
      <c r="N538" s="743">
        <f>IF(I544=0,0,VLOOKUP(I544,C551:O610,5))</f>
        <v>160817.52169875748</v>
      </c>
      <c r="O538" s="314"/>
    </row>
    <row r="539" spans="1:16" ht="15.75">
      <c r="C539" s="659"/>
      <c r="D539" s="538"/>
      <c r="E539" s="314"/>
      <c r="F539" s="314"/>
      <c r="G539" s="314"/>
      <c r="H539" s="744"/>
      <c r="I539" s="744"/>
      <c r="J539" s="745"/>
      <c r="K539" s="746" t="s">
        <v>92</v>
      </c>
      <c r="L539" s="747"/>
      <c r="M539" s="427"/>
      <c r="N539" s="748">
        <f>IF(I544=0,0,VLOOKUP(I544,C551:O610,6))</f>
        <v>160817.52169875748</v>
      </c>
      <c r="O539" s="314"/>
    </row>
    <row r="540" spans="1:16" ht="13.5" thickBot="1">
      <c r="C540" s="749" t="s">
        <v>88</v>
      </c>
      <c r="D540" s="1527" t="s">
        <v>815</v>
      </c>
      <c r="E540" s="1527"/>
      <c r="F540" s="1527"/>
      <c r="G540" s="1527"/>
      <c r="H540" s="1527"/>
      <c r="I540" s="1527"/>
      <c r="J540" s="730"/>
      <c r="K540" s="750" t="s">
        <v>230</v>
      </c>
      <c r="L540" s="751"/>
      <c r="M540" s="751"/>
      <c r="N540" s="752">
        <f>+N539-N538</f>
        <v>0</v>
      </c>
      <c r="O540" s="314"/>
    </row>
    <row r="541" spans="1:16">
      <c r="C541" s="753"/>
      <c r="D541" s="754"/>
      <c r="E541" s="734"/>
      <c r="F541" s="734"/>
      <c r="G541" s="755"/>
      <c r="H541" s="708"/>
      <c r="I541" s="708"/>
      <c r="J541" s="730"/>
      <c r="K541" s="708"/>
      <c r="L541" s="708"/>
      <c r="M541" s="708"/>
      <c r="N541" s="708"/>
      <c r="O541" s="314"/>
    </row>
    <row r="542" spans="1:16" ht="13.5" thickBot="1">
      <c r="C542" s="756"/>
      <c r="D542" s="757"/>
      <c r="E542" s="755"/>
      <c r="F542" s="755"/>
      <c r="G542" s="755"/>
      <c r="H542" s="755"/>
      <c r="I542" s="755"/>
      <c r="J542" s="758"/>
      <c r="K542" s="755"/>
      <c r="L542" s="755"/>
      <c r="M542" s="755"/>
      <c r="N542" s="755"/>
      <c r="O542" s="348"/>
    </row>
    <row r="543" spans="1:16" ht="13.5" thickBot="1">
      <c r="C543" s="759" t="s">
        <v>89</v>
      </c>
      <c r="D543" s="760"/>
      <c r="E543" s="760"/>
      <c r="F543" s="760"/>
      <c r="G543" s="760"/>
      <c r="H543" s="760"/>
      <c r="I543" s="761"/>
      <c r="J543" s="762"/>
      <c r="K543" s="314"/>
      <c r="L543" s="314"/>
      <c r="M543" s="314"/>
      <c r="N543" s="314"/>
      <c r="O543" s="763"/>
    </row>
    <row r="544" spans="1:16" ht="15">
      <c r="C544" s="764" t="s">
        <v>67</v>
      </c>
      <c r="D544" s="808">
        <v>1465791.68</v>
      </c>
      <c r="E544" s="725" t="s">
        <v>68</v>
      </c>
      <c r="G544" s="765"/>
      <c r="H544" s="765"/>
      <c r="I544" s="766">
        <f>$L$26</f>
        <v>2025</v>
      </c>
      <c r="J544" s="554"/>
      <c r="K544" s="1528" t="s">
        <v>239</v>
      </c>
      <c r="L544" s="1528"/>
      <c r="M544" s="1528"/>
      <c r="N544" s="1528"/>
      <c r="O544" s="1528"/>
    </row>
    <row r="545" spans="2:15">
      <c r="C545" s="764" t="s">
        <v>70</v>
      </c>
      <c r="D545" s="809">
        <v>2015</v>
      </c>
      <c r="E545" s="764" t="s">
        <v>71</v>
      </c>
      <c r="F545" s="765"/>
      <c r="H545" s="173"/>
      <c r="I545" s="810">
        <f>IF(G538="",0,$F$17)</f>
        <v>0</v>
      </c>
      <c r="J545" s="767"/>
      <c r="K545" s="730" t="s">
        <v>239</v>
      </c>
    </row>
    <row r="546" spans="2:15">
      <c r="C546" s="764" t="s">
        <v>72</v>
      </c>
      <c r="D546" s="808">
        <v>6</v>
      </c>
      <c r="E546" s="764" t="s">
        <v>73</v>
      </c>
      <c r="F546" s="765"/>
      <c r="H546" s="173"/>
      <c r="I546" s="768">
        <f>$G$70</f>
        <v>0.11318296473052861</v>
      </c>
      <c r="J546" s="769"/>
      <c r="K546" s="173" t="str">
        <f>"          INPUT PROJECTED ARR (WITH &amp; WITHOUT INCENTIVES) FROM EACH PRIOR YEAR"</f>
        <v xml:space="preserve">          INPUT PROJECTED ARR (WITH &amp; WITHOUT INCENTIVES) FROM EACH PRIOR YEAR</v>
      </c>
    </row>
    <row r="547" spans="2:15">
      <c r="C547" s="764" t="s">
        <v>74</v>
      </c>
      <c r="D547" s="770">
        <f>$G$79</f>
        <v>38</v>
      </c>
      <c r="E547" s="764" t="s">
        <v>75</v>
      </c>
      <c r="F547" s="765"/>
      <c r="H547" s="173"/>
      <c r="I547" s="768">
        <f>IF(G538="",I546,$G$69)</f>
        <v>0.11318296473052861</v>
      </c>
      <c r="J547" s="771"/>
      <c r="K547" s="173" t="s">
        <v>152</v>
      </c>
    </row>
    <row r="548" spans="2:15" ht="13.5" thickBot="1">
      <c r="C548" s="764" t="s">
        <v>76</v>
      </c>
      <c r="D548" s="807" t="s">
        <v>810</v>
      </c>
      <c r="E548" s="772" t="s">
        <v>77</v>
      </c>
      <c r="F548" s="773"/>
      <c r="G548" s="774"/>
      <c r="H548" s="774"/>
      <c r="I548" s="752">
        <f>IF(D544=0,0,D544/D547)</f>
        <v>38573.465263157894</v>
      </c>
      <c r="J548" s="730"/>
      <c r="K548" s="730" t="s">
        <v>158</v>
      </c>
      <c r="L548" s="730"/>
      <c r="M548" s="730"/>
      <c r="N548" s="730"/>
      <c r="O548" s="427"/>
    </row>
    <row r="549" spans="2:15" ht="38.25">
      <c r="B549" s="845"/>
      <c r="C549" s="775" t="s">
        <v>67</v>
      </c>
      <c r="D549" s="776" t="s">
        <v>78</v>
      </c>
      <c r="E549" s="777" t="s">
        <v>79</v>
      </c>
      <c r="F549" s="776" t="s">
        <v>80</v>
      </c>
      <c r="G549" s="777" t="s">
        <v>151</v>
      </c>
      <c r="H549" s="778" t="s">
        <v>151</v>
      </c>
      <c r="I549" s="775" t="s">
        <v>90</v>
      </c>
      <c r="J549" s="779"/>
      <c r="K549" s="777" t="s">
        <v>160</v>
      </c>
      <c r="L549" s="780"/>
      <c r="M549" s="777" t="s">
        <v>160</v>
      </c>
      <c r="N549" s="780"/>
      <c r="O549" s="780"/>
    </row>
    <row r="550" spans="2:15" ht="13.5" thickBot="1">
      <c r="C550" s="781" t="s">
        <v>467</v>
      </c>
      <c r="D550" s="782" t="s">
        <v>468</v>
      </c>
      <c r="E550" s="781" t="s">
        <v>361</v>
      </c>
      <c r="F550" s="782" t="s">
        <v>468</v>
      </c>
      <c r="G550" s="783" t="s">
        <v>93</v>
      </c>
      <c r="H550" s="784" t="s">
        <v>95</v>
      </c>
      <c r="I550" s="785" t="s">
        <v>15</v>
      </c>
      <c r="J550" s="786"/>
      <c r="K550" s="783" t="s">
        <v>82</v>
      </c>
      <c r="L550" s="787"/>
      <c r="M550" s="783" t="s">
        <v>95</v>
      </c>
      <c r="N550" s="787"/>
      <c r="O550" s="787"/>
    </row>
    <row r="551" spans="2:15">
      <c r="C551" s="788">
        <f>IF(D545= "","-",D545)</f>
        <v>2015</v>
      </c>
      <c r="D551" s="736">
        <f>+D544</f>
        <v>1465791.68</v>
      </c>
      <c r="E551" s="789">
        <f>+I548/12*(12-D546)</f>
        <v>19286.732631578947</v>
      </c>
      <c r="F551" s="736">
        <f>+D551-E551</f>
        <v>1446504.9473684209</v>
      </c>
      <c r="G551" s="999">
        <f>+$I$96*((D551+F551)/2)+E551</f>
        <v>184097.91586171766</v>
      </c>
      <c r="H551" s="1000">
        <f>$I$97*((D551+F551)/2)+E551</f>
        <v>184097.91586171766</v>
      </c>
      <c r="I551" s="792">
        <f>+H551-G551</f>
        <v>0</v>
      </c>
      <c r="J551" s="792"/>
      <c r="K551" s="811">
        <v>231097</v>
      </c>
      <c r="L551" s="793"/>
      <c r="M551" s="811">
        <v>231097</v>
      </c>
      <c r="N551" s="793"/>
      <c r="O551" s="793"/>
    </row>
    <row r="552" spans="2:15">
      <c r="C552" s="788">
        <f>IF(D545="","-",+C551+1)</f>
        <v>2016</v>
      </c>
      <c r="D552" s="736">
        <f t="shared" ref="D552:D610" si="30">F551</f>
        <v>1446504.9473684209</v>
      </c>
      <c r="E552" s="789">
        <f>IF(D552&gt;$I$548,$I$548,D552)</f>
        <v>38573.465263157894</v>
      </c>
      <c r="F552" s="736">
        <f t="shared" ref="F552:F610" si="31">+D552-E552</f>
        <v>1407931.482105263</v>
      </c>
      <c r="G552" s="794">
        <f t="shared" ref="G552:G610" si="32">+$I$96*((D552+F552)/2)+E552</f>
        <v>200110.25412448589</v>
      </c>
      <c r="H552" s="795">
        <f t="shared" ref="H552:H610" si="33">$I$97*((D552+F552)/2)+E552</f>
        <v>200110.25412448589</v>
      </c>
      <c r="I552" s="792">
        <f t="shared" ref="I552:I610" si="34">+H552-G552</f>
        <v>0</v>
      </c>
      <c r="J552" s="792"/>
      <c r="K552" s="812">
        <v>145269</v>
      </c>
      <c r="L552" s="796"/>
      <c r="M552" s="812">
        <v>145269</v>
      </c>
      <c r="N552" s="796"/>
      <c r="O552" s="796"/>
    </row>
    <row r="553" spans="2:15">
      <c r="C553" s="788">
        <f>IF(D545="","-",+C552+1)</f>
        <v>2017</v>
      </c>
      <c r="D553" s="736">
        <f t="shared" si="30"/>
        <v>1407931.482105263</v>
      </c>
      <c r="E553" s="789">
        <f t="shared" ref="E553:E610" si="35">IF(D553&gt;$I$548,$I$548,D553)</f>
        <v>38573.465263157894</v>
      </c>
      <c r="F553" s="736">
        <f t="shared" si="31"/>
        <v>1369358.0168421052</v>
      </c>
      <c r="G553" s="794">
        <f t="shared" si="32"/>
        <v>195744.39496607159</v>
      </c>
      <c r="H553" s="795">
        <f t="shared" si="33"/>
        <v>195744.39496607159</v>
      </c>
      <c r="I553" s="792">
        <f t="shared" si="34"/>
        <v>0</v>
      </c>
      <c r="J553" s="792"/>
      <c r="K553" s="812">
        <v>174707</v>
      </c>
      <c r="L553" s="796"/>
      <c r="M553" s="812">
        <v>174707</v>
      </c>
      <c r="N553" s="796"/>
      <c r="O553" s="796"/>
    </row>
    <row r="554" spans="2:15">
      <c r="C554" s="1315">
        <f>IF(D545="","-",+C553+1)</f>
        <v>2018</v>
      </c>
      <c r="D554" s="736">
        <f t="shared" si="30"/>
        <v>1369358.0168421052</v>
      </c>
      <c r="E554" s="789">
        <f t="shared" si="35"/>
        <v>38573.465263157894</v>
      </c>
      <c r="F554" s="736">
        <f t="shared" si="31"/>
        <v>1330784.5515789473</v>
      </c>
      <c r="G554" s="794">
        <f t="shared" si="32"/>
        <v>191378.53580765735</v>
      </c>
      <c r="H554" s="795">
        <f t="shared" si="33"/>
        <v>191378.53580765735</v>
      </c>
      <c r="I554" s="792">
        <f t="shared" si="34"/>
        <v>0</v>
      </c>
      <c r="J554" s="792"/>
      <c r="K554" s="812">
        <v>159518</v>
      </c>
      <c r="L554" s="796"/>
      <c r="M554" s="812">
        <v>159518</v>
      </c>
      <c r="N554" s="796"/>
      <c r="O554" s="796"/>
    </row>
    <row r="555" spans="2:15">
      <c r="C555" s="1315">
        <f>IF(D545="","-",+C554+1)</f>
        <v>2019</v>
      </c>
      <c r="D555" s="736">
        <f t="shared" si="30"/>
        <v>1330784.5515789473</v>
      </c>
      <c r="E555" s="789">
        <f t="shared" si="35"/>
        <v>38573.465263157894</v>
      </c>
      <c r="F555" s="736">
        <f t="shared" si="31"/>
        <v>1292211.0863157895</v>
      </c>
      <c r="G555" s="794">
        <f t="shared" si="32"/>
        <v>187012.67664924305</v>
      </c>
      <c r="H555" s="795">
        <f t="shared" si="33"/>
        <v>187012.67664924305</v>
      </c>
      <c r="I555" s="792">
        <f t="shared" si="34"/>
        <v>0</v>
      </c>
      <c r="J555" s="792"/>
      <c r="K555" s="812">
        <v>170220.29271990934</v>
      </c>
      <c r="L555" s="796"/>
      <c r="M555" s="812">
        <v>170220.29271990934</v>
      </c>
      <c r="N555" s="796"/>
      <c r="O555" s="796"/>
    </row>
    <row r="556" spans="2:15">
      <c r="C556" s="1315">
        <f>IF(D544="","-",+C555+1)</f>
        <v>2020</v>
      </c>
      <c r="D556" s="736">
        <f t="shared" si="30"/>
        <v>1292211.0863157895</v>
      </c>
      <c r="E556" s="789">
        <f t="shared" si="35"/>
        <v>38573.465263157894</v>
      </c>
      <c r="F556" s="736">
        <f t="shared" si="31"/>
        <v>1253637.6210526316</v>
      </c>
      <c r="G556" s="794">
        <f t="shared" si="32"/>
        <v>182646.81749082881</v>
      </c>
      <c r="H556" s="795">
        <f t="shared" si="33"/>
        <v>182646.81749082881</v>
      </c>
      <c r="I556" s="792">
        <f t="shared" si="34"/>
        <v>0</v>
      </c>
      <c r="J556" s="792"/>
      <c r="K556" s="812">
        <v>168073.35315193239</v>
      </c>
      <c r="L556" s="796"/>
      <c r="M556" s="812">
        <v>168073.35315193239</v>
      </c>
      <c r="N556" s="796"/>
      <c r="O556" s="796"/>
    </row>
    <row r="557" spans="2:15">
      <c r="C557" s="1315">
        <f>IF(D544="","-",+C556+1)</f>
        <v>2021</v>
      </c>
      <c r="D557" s="736">
        <f t="shared" si="30"/>
        <v>1253637.6210526316</v>
      </c>
      <c r="E557" s="789">
        <f t="shared" si="35"/>
        <v>38573.465263157894</v>
      </c>
      <c r="F557" s="736">
        <f t="shared" si="31"/>
        <v>1215064.1557894738</v>
      </c>
      <c r="G557" s="794">
        <f t="shared" si="32"/>
        <v>178280.95833241456</v>
      </c>
      <c r="H557" s="795">
        <f t="shared" si="33"/>
        <v>178280.95833241456</v>
      </c>
      <c r="I557" s="792">
        <f t="shared" si="34"/>
        <v>0</v>
      </c>
      <c r="J557" s="792"/>
      <c r="K557" s="812">
        <v>168687.50749365854</v>
      </c>
      <c r="L557" s="796"/>
      <c r="M557" s="812">
        <v>168687.50749365854</v>
      </c>
      <c r="N557" s="796"/>
      <c r="O557" s="796"/>
    </row>
    <row r="558" spans="2:15">
      <c r="C558" s="1315">
        <f>IF(D545="","-",+C557+1)</f>
        <v>2022</v>
      </c>
      <c r="D558" s="736">
        <f t="shared" si="30"/>
        <v>1215064.1557894738</v>
      </c>
      <c r="E558" s="789">
        <f t="shared" si="35"/>
        <v>38573.465263157894</v>
      </c>
      <c r="F558" s="736">
        <f t="shared" si="31"/>
        <v>1176490.6905263159</v>
      </c>
      <c r="G558" s="794">
        <f t="shared" si="32"/>
        <v>173915.09917400032</v>
      </c>
      <c r="H558" s="795">
        <f t="shared" si="33"/>
        <v>173915.09917400032</v>
      </c>
      <c r="I558" s="792">
        <f t="shared" si="34"/>
        <v>0</v>
      </c>
      <c r="J558" s="792"/>
      <c r="K558" s="812">
        <v>168144.06573355541</v>
      </c>
      <c r="L558" s="796"/>
      <c r="M558" s="812">
        <v>168144.06573355541</v>
      </c>
      <c r="N558" s="796"/>
      <c r="O558" s="796"/>
    </row>
    <row r="559" spans="2:15">
      <c r="C559" s="1315">
        <f>IF(D545="","-",+C558+1)</f>
        <v>2023</v>
      </c>
      <c r="D559" s="736">
        <f t="shared" si="30"/>
        <v>1176490.6905263159</v>
      </c>
      <c r="E559" s="789">
        <f t="shared" si="35"/>
        <v>38573.465263157894</v>
      </c>
      <c r="F559" s="736">
        <f t="shared" si="31"/>
        <v>1137917.2252631581</v>
      </c>
      <c r="G559" s="794">
        <f t="shared" si="32"/>
        <v>169549.24001558602</v>
      </c>
      <c r="H559" s="795">
        <f t="shared" si="33"/>
        <v>169549.24001558602</v>
      </c>
      <c r="I559" s="792">
        <f t="shared" si="34"/>
        <v>0</v>
      </c>
      <c r="J559" s="792"/>
      <c r="K559" s="812">
        <v>167213.79771624121</v>
      </c>
      <c r="L559" s="796"/>
      <c r="M559" s="812">
        <v>167213.79771624121</v>
      </c>
      <c r="N559" s="796"/>
      <c r="O559" s="796"/>
    </row>
    <row r="560" spans="2:15">
      <c r="C560" s="1433">
        <f>IF(D545="","-",+C559+1)</f>
        <v>2024</v>
      </c>
      <c r="D560" s="736">
        <f t="shared" si="30"/>
        <v>1137917.2252631581</v>
      </c>
      <c r="E560" s="789">
        <f t="shared" si="35"/>
        <v>38573.465263157894</v>
      </c>
      <c r="F560" s="736">
        <f t="shared" si="31"/>
        <v>1099343.7600000002</v>
      </c>
      <c r="G560" s="794">
        <f t="shared" si="32"/>
        <v>165183.38085717178</v>
      </c>
      <c r="H560" s="795">
        <f t="shared" si="33"/>
        <v>165183.38085717178</v>
      </c>
      <c r="I560" s="792">
        <f t="shared" si="34"/>
        <v>0</v>
      </c>
      <c r="J560" s="792"/>
      <c r="K560" s="812">
        <v>166210.17818318095</v>
      </c>
      <c r="L560" s="796"/>
      <c r="M560" s="812">
        <v>166210.17818318095</v>
      </c>
      <c r="N560" s="796"/>
      <c r="O560" s="796"/>
    </row>
    <row r="561" spans="3:15">
      <c r="C561" s="1311">
        <f>IF(D545="","-",+C560+1)</f>
        <v>2025</v>
      </c>
      <c r="D561" s="736">
        <f t="shared" si="30"/>
        <v>1099343.7600000002</v>
      </c>
      <c r="E561" s="789">
        <f t="shared" si="35"/>
        <v>38573.465263157894</v>
      </c>
      <c r="F561" s="736">
        <f t="shared" si="31"/>
        <v>1060770.2947368424</v>
      </c>
      <c r="G561" s="794">
        <f t="shared" si="32"/>
        <v>160817.52169875748</v>
      </c>
      <c r="H561" s="795">
        <f t="shared" si="33"/>
        <v>160817.52169875748</v>
      </c>
      <c r="I561" s="792">
        <f t="shared" si="34"/>
        <v>0</v>
      </c>
      <c r="J561" s="792"/>
      <c r="K561" s="812"/>
      <c r="L561" s="796"/>
      <c r="M561" s="812"/>
      <c r="N561" s="796"/>
      <c r="O561" s="796"/>
    </row>
    <row r="562" spans="3:15">
      <c r="C562" s="788">
        <f>IF(D545="","-",+C561+1)</f>
        <v>2026</v>
      </c>
      <c r="D562" s="736">
        <f t="shared" si="30"/>
        <v>1060770.2947368424</v>
      </c>
      <c r="E562" s="789">
        <f t="shared" si="35"/>
        <v>38573.465263157894</v>
      </c>
      <c r="F562" s="736">
        <f t="shared" si="31"/>
        <v>1022196.8294736845</v>
      </c>
      <c r="G562" s="794">
        <f t="shared" si="32"/>
        <v>156451.66254034324</v>
      </c>
      <c r="H562" s="795">
        <f t="shared" si="33"/>
        <v>156451.66254034324</v>
      </c>
      <c r="I562" s="792">
        <f t="shared" si="34"/>
        <v>0</v>
      </c>
      <c r="J562" s="792"/>
      <c r="K562" s="812"/>
      <c r="L562" s="796"/>
      <c r="M562" s="812"/>
      <c r="N562" s="796"/>
      <c r="O562" s="796"/>
    </row>
    <row r="563" spans="3:15">
      <c r="C563" s="788">
        <f>IF(D545="","-",+C562+1)</f>
        <v>2027</v>
      </c>
      <c r="D563" s="736">
        <f t="shared" si="30"/>
        <v>1022196.8294736845</v>
      </c>
      <c r="E563" s="789">
        <f t="shared" si="35"/>
        <v>38573.465263157894</v>
      </c>
      <c r="F563" s="736">
        <f t="shared" si="31"/>
        <v>983623.36421052669</v>
      </c>
      <c r="G563" s="794">
        <f t="shared" si="32"/>
        <v>152085.80338192897</v>
      </c>
      <c r="H563" s="795">
        <f t="shared" si="33"/>
        <v>152085.80338192897</v>
      </c>
      <c r="I563" s="792">
        <f t="shared" si="34"/>
        <v>0</v>
      </c>
      <c r="J563" s="792"/>
      <c r="K563" s="812"/>
      <c r="L563" s="796"/>
      <c r="M563" s="812"/>
      <c r="N563" s="797"/>
      <c r="O563" s="796"/>
    </row>
    <row r="564" spans="3:15">
      <c r="C564" s="788">
        <f>IF(D545="","-",+C563+1)</f>
        <v>2028</v>
      </c>
      <c r="D564" s="736">
        <f t="shared" si="30"/>
        <v>983623.36421052669</v>
      </c>
      <c r="E564" s="789">
        <f t="shared" si="35"/>
        <v>38573.465263157894</v>
      </c>
      <c r="F564" s="736">
        <f t="shared" si="31"/>
        <v>945049.89894736884</v>
      </c>
      <c r="G564" s="794">
        <f t="shared" si="32"/>
        <v>147719.9442235147</v>
      </c>
      <c r="H564" s="795">
        <f t="shared" si="33"/>
        <v>147719.9442235147</v>
      </c>
      <c r="I564" s="792">
        <f t="shared" si="34"/>
        <v>0</v>
      </c>
      <c r="J564" s="792"/>
      <c r="K564" s="812"/>
      <c r="L564" s="796"/>
      <c r="M564" s="812"/>
      <c r="N564" s="796"/>
      <c r="O564" s="796"/>
    </row>
    <row r="565" spans="3:15">
      <c r="C565" s="788">
        <f>IF(D545="","-",+C564+1)</f>
        <v>2029</v>
      </c>
      <c r="D565" s="736">
        <f t="shared" si="30"/>
        <v>945049.89894736884</v>
      </c>
      <c r="E565" s="789">
        <f t="shared" si="35"/>
        <v>38573.465263157894</v>
      </c>
      <c r="F565" s="736">
        <f t="shared" si="31"/>
        <v>906476.43368421099</v>
      </c>
      <c r="G565" s="794">
        <f t="shared" si="32"/>
        <v>143354.08506510043</v>
      </c>
      <c r="H565" s="795">
        <f t="shared" si="33"/>
        <v>143354.08506510043</v>
      </c>
      <c r="I565" s="792">
        <f t="shared" si="34"/>
        <v>0</v>
      </c>
      <c r="J565" s="792"/>
      <c r="K565" s="812"/>
      <c r="L565" s="796"/>
      <c r="M565" s="812"/>
      <c r="N565" s="796"/>
      <c r="O565" s="796"/>
    </row>
    <row r="566" spans="3:15">
      <c r="C566" s="788">
        <f>IF(D545="","-",+C565+1)</f>
        <v>2030</v>
      </c>
      <c r="D566" s="736">
        <f t="shared" si="30"/>
        <v>906476.43368421099</v>
      </c>
      <c r="E566" s="789">
        <f t="shared" si="35"/>
        <v>38573.465263157894</v>
      </c>
      <c r="F566" s="736">
        <f t="shared" si="31"/>
        <v>867902.96842105314</v>
      </c>
      <c r="G566" s="794">
        <f t="shared" si="32"/>
        <v>138988.22590668616</v>
      </c>
      <c r="H566" s="795">
        <f t="shared" si="33"/>
        <v>138988.22590668616</v>
      </c>
      <c r="I566" s="792">
        <f t="shared" si="34"/>
        <v>0</v>
      </c>
      <c r="J566" s="792"/>
      <c r="K566" s="812"/>
      <c r="L566" s="796"/>
      <c r="M566" s="812"/>
      <c r="N566" s="796"/>
      <c r="O566" s="796"/>
    </row>
    <row r="567" spans="3:15">
      <c r="C567" s="788">
        <f>IF(D545="","-",+C566+1)</f>
        <v>2031</v>
      </c>
      <c r="D567" s="736">
        <f t="shared" si="30"/>
        <v>867902.96842105314</v>
      </c>
      <c r="E567" s="789">
        <f t="shared" si="35"/>
        <v>38573.465263157894</v>
      </c>
      <c r="F567" s="736">
        <f t="shared" si="31"/>
        <v>829329.50315789529</v>
      </c>
      <c r="G567" s="794">
        <f t="shared" si="32"/>
        <v>134622.36674827192</v>
      </c>
      <c r="H567" s="795">
        <f t="shared" si="33"/>
        <v>134622.36674827192</v>
      </c>
      <c r="I567" s="792">
        <f t="shared" si="34"/>
        <v>0</v>
      </c>
      <c r="J567" s="792"/>
      <c r="K567" s="812"/>
      <c r="L567" s="796"/>
      <c r="M567" s="812"/>
      <c r="N567" s="796"/>
      <c r="O567" s="796"/>
    </row>
    <row r="568" spans="3:15">
      <c r="C568" s="788">
        <f>IF(D545="","-",+C567+1)</f>
        <v>2032</v>
      </c>
      <c r="D568" s="736">
        <f t="shared" si="30"/>
        <v>829329.50315789529</v>
      </c>
      <c r="E568" s="789">
        <f t="shared" si="35"/>
        <v>38573.465263157894</v>
      </c>
      <c r="F568" s="736">
        <f t="shared" si="31"/>
        <v>790756.03789473744</v>
      </c>
      <c r="G568" s="794">
        <f t="shared" si="32"/>
        <v>130256.50758985763</v>
      </c>
      <c r="H568" s="795">
        <f t="shared" si="33"/>
        <v>130256.50758985763</v>
      </c>
      <c r="I568" s="792">
        <f t="shared" si="34"/>
        <v>0</v>
      </c>
      <c r="J568" s="792"/>
      <c r="K568" s="812"/>
      <c r="L568" s="796"/>
      <c r="M568" s="812"/>
      <c r="N568" s="796"/>
      <c r="O568" s="796"/>
    </row>
    <row r="569" spans="3:15">
      <c r="C569" s="788">
        <f>IF(D545="","-",+C568+1)</f>
        <v>2033</v>
      </c>
      <c r="D569" s="736">
        <f t="shared" si="30"/>
        <v>790756.03789473744</v>
      </c>
      <c r="E569" s="789">
        <f t="shared" si="35"/>
        <v>38573.465263157894</v>
      </c>
      <c r="F569" s="736">
        <f t="shared" si="31"/>
        <v>752182.57263157959</v>
      </c>
      <c r="G569" s="794">
        <f t="shared" si="32"/>
        <v>125890.64843144338</v>
      </c>
      <c r="H569" s="795">
        <f t="shared" si="33"/>
        <v>125890.64843144338</v>
      </c>
      <c r="I569" s="792">
        <f t="shared" si="34"/>
        <v>0</v>
      </c>
      <c r="J569" s="792"/>
      <c r="K569" s="812"/>
      <c r="L569" s="796"/>
      <c r="M569" s="812"/>
      <c r="N569" s="796"/>
      <c r="O569" s="796"/>
    </row>
    <row r="570" spans="3:15">
      <c r="C570" s="788">
        <f>IF(D545="","-",+C569+1)</f>
        <v>2034</v>
      </c>
      <c r="D570" s="736">
        <f t="shared" si="30"/>
        <v>752182.57263157959</v>
      </c>
      <c r="E570" s="789">
        <f t="shared" si="35"/>
        <v>38573.465263157894</v>
      </c>
      <c r="F570" s="736">
        <f t="shared" si="31"/>
        <v>713609.10736842174</v>
      </c>
      <c r="G570" s="794">
        <f t="shared" si="32"/>
        <v>121524.78927302911</v>
      </c>
      <c r="H570" s="795">
        <f t="shared" si="33"/>
        <v>121524.78927302911</v>
      </c>
      <c r="I570" s="792">
        <f t="shared" si="34"/>
        <v>0</v>
      </c>
      <c r="J570" s="792"/>
      <c r="K570" s="812"/>
      <c r="L570" s="796"/>
      <c r="M570" s="812"/>
      <c r="N570" s="796"/>
      <c r="O570" s="796"/>
    </row>
    <row r="571" spans="3:15">
      <c r="C571" s="788">
        <f>IF(D545="","-",+C570+1)</f>
        <v>2035</v>
      </c>
      <c r="D571" s="736">
        <f t="shared" si="30"/>
        <v>713609.10736842174</v>
      </c>
      <c r="E571" s="789">
        <f t="shared" si="35"/>
        <v>38573.465263157894</v>
      </c>
      <c r="F571" s="736">
        <f t="shared" si="31"/>
        <v>675035.64210526389</v>
      </c>
      <c r="G571" s="794">
        <f t="shared" si="32"/>
        <v>117158.93011461484</v>
      </c>
      <c r="H571" s="795">
        <f t="shared" si="33"/>
        <v>117158.93011461484</v>
      </c>
      <c r="I571" s="792">
        <f t="shared" si="34"/>
        <v>0</v>
      </c>
      <c r="J571" s="792"/>
      <c r="K571" s="812"/>
      <c r="L571" s="796"/>
      <c r="M571" s="812"/>
      <c r="N571" s="796"/>
      <c r="O571" s="796"/>
    </row>
    <row r="572" spans="3:15">
      <c r="C572" s="788">
        <f>IF(D545="","-",+C571+1)</f>
        <v>2036</v>
      </c>
      <c r="D572" s="736">
        <f t="shared" si="30"/>
        <v>675035.64210526389</v>
      </c>
      <c r="E572" s="789">
        <f t="shared" si="35"/>
        <v>38573.465263157894</v>
      </c>
      <c r="F572" s="736">
        <f t="shared" si="31"/>
        <v>636462.17684210604</v>
      </c>
      <c r="G572" s="794">
        <f t="shared" si="32"/>
        <v>112793.07095620058</v>
      </c>
      <c r="H572" s="795">
        <f t="shared" si="33"/>
        <v>112793.07095620058</v>
      </c>
      <c r="I572" s="792">
        <f t="shared" si="34"/>
        <v>0</v>
      </c>
      <c r="J572" s="792"/>
      <c r="K572" s="812"/>
      <c r="L572" s="796"/>
      <c r="M572" s="812"/>
      <c r="N572" s="796"/>
      <c r="O572" s="796"/>
    </row>
    <row r="573" spans="3:15">
      <c r="C573" s="788">
        <f>IF(D545="","-",+C572+1)</f>
        <v>2037</v>
      </c>
      <c r="D573" s="736">
        <f t="shared" si="30"/>
        <v>636462.17684210604</v>
      </c>
      <c r="E573" s="789">
        <f t="shared" si="35"/>
        <v>38573.465263157894</v>
      </c>
      <c r="F573" s="736">
        <f t="shared" si="31"/>
        <v>597888.71157894819</v>
      </c>
      <c r="G573" s="794">
        <f t="shared" si="32"/>
        <v>108427.21179778631</v>
      </c>
      <c r="H573" s="795">
        <f t="shared" si="33"/>
        <v>108427.21179778631</v>
      </c>
      <c r="I573" s="792">
        <f t="shared" si="34"/>
        <v>0</v>
      </c>
      <c r="J573" s="792"/>
      <c r="K573" s="812"/>
      <c r="L573" s="796"/>
      <c r="M573" s="812"/>
      <c r="N573" s="796"/>
      <c r="O573" s="796"/>
    </row>
    <row r="574" spans="3:15">
      <c r="C574" s="788">
        <f>IF(D545="","-",+C573+1)</f>
        <v>2038</v>
      </c>
      <c r="D574" s="736">
        <f t="shared" si="30"/>
        <v>597888.71157894819</v>
      </c>
      <c r="E574" s="789">
        <f t="shared" si="35"/>
        <v>38573.465263157894</v>
      </c>
      <c r="F574" s="736">
        <f t="shared" si="31"/>
        <v>559315.24631579034</v>
      </c>
      <c r="G574" s="794">
        <f t="shared" si="32"/>
        <v>104061.35263937205</v>
      </c>
      <c r="H574" s="795">
        <f t="shared" si="33"/>
        <v>104061.35263937205</v>
      </c>
      <c r="I574" s="792">
        <f t="shared" si="34"/>
        <v>0</v>
      </c>
      <c r="J574" s="792"/>
      <c r="K574" s="812"/>
      <c r="L574" s="796"/>
      <c r="M574" s="812"/>
      <c r="N574" s="796"/>
      <c r="O574" s="796"/>
    </row>
    <row r="575" spans="3:15">
      <c r="C575" s="788">
        <f>IF(D545="","-",+C574+1)</f>
        <v>2039</v>
      </c>
      <c r="D575" s="736">
        <f t="shared" si="30"/>
        <v>559315.24631579034</v>
      </c>
      <c r="E575" s="789">
        <f t="shared" si="35"/>
        <v>38573.465263157894</v>
      </c>
      <c r="F575" s="736">
        <f t="shared" si="31"/>
        <v>520741.78105263243</v>
      </c>
      <c r="G575" s="794">
        <f t="shared" si="32"/>
        <v>99695.493480957783</v>
      </c>
      <c r="H575" s="795">
        <f t="shared" si="33"/>
        <v>99695.493480957783</v>
      </c>
      <c r="I575" s="792">
        <f t="shared" si="34"/>
        <v>0</v>
      </c>
      <c r="J575" s="792"/>
      <c r="K575" s="812"/>
      <c r="L575" s="796"/>
      <c r="M575" s="812"/>
      <c r="N575" s="796"/>
      <c r="O575" s="796"/>
    </row>
    <row r="576" spans="3:15">
      <c r="C576" s="788">
        <f>IF(D545="","-",+C575+1)</f>
        <v>2040</v>
      </c>
      <c r="D576" s="736">
        <f t="shared" si="30"/>
        <v>520741.78105263243</v>
      </c>
      <c r="E576" s="789">
        <f t="shared" si="35"/>
        <v>38573.465263157894</v>
      </c>
      <c r="F576" s="736">
        <f t="shared" si="31"/>
        <v>482168.31578947452</v>
      </c>
      <c r="G576" s="794">
        <f t="shared" si="32"/>
        <v>95329.634322543498</v>
      </c>
      <c r="H576" s="795">
        <f t="shared" si="33"/>
        <v>95329.634322543498</v>
      </c>
      <c r="I576" s="792">
        <f t="shared" si="34"/>
        <v>0</v>
      </c>
      <c r="J576" s="792"/>
      <c r="K576" s="812"/>
      <c r="L576" s="796"/>
      <c r="M576" s="812"/>
      <c r="N576" s="796"/>
      <c r="O576" s="796"/>
    </row>
    <row r="577" spans="3:15">
      <c r="C577" s="788">
        <f>IF(D545="","-",+C576+1)</f>
        <v>2041</v>
      </c>
      <c r="D577" s="736">
        <f t="shared" si="30"/>
        <v>482168.31578947452</v>
      </c>
      <c r="E577" s="789">
        <f t="shared" si="35"/>
        <v>38573.465263157894</v>
      </c>
      <c r="F577" s="736">
        <f t="shared" si="31"/>
        <v>443594.85052631662</v>
      </c>
      <c r="G577" s="794">
        <f t="shared" si="32"/>
        <v>90963.775164129242</v>
      </c>
      <c r="H577" s="795">
        <f t="shared" si="33"/>
        <v>90963.775164129242</v>
      </c>
      <c r="I577" s="792">
        <f t="shared" si="34"/>
        <v>0</v>
      </c>
      <c r="J577" s="792"/>
      <c r="K577" s="812"/>
      <c r="L577" s="796"/>
      <c r="M577" s="812"/>
      <c r="N577" s="796"/>
      <c r="O577" s="796"/>
    </row>
    <row r="578" spans="3:15">
      <c r="C578" s="788">
        <f>IF(D545="","-",+C577+1)</f>
        <v>2042</v>
      </c>
      <c r="D578" s="736">
        <f t="shared" si="30"/>
        <v>443594.85052631662</v>
      </c>
      <c r="E578" s="789">
        <f t="shared" si="35"/>
        <v>38573.465263157894</v>
      </c>
      <c r="F578" s="736">
        <f t="shared" si="31"/>
        <v>405021.38526315871</v>
      </c>
      <c r="G578" s="794">
        <f t="shared" si="32"/>
        <v>86597.916005714957</v>
      </c>
      <c r="H578" s="795">
        <f t="shared" si="33"/>
        <v>86597.916005714957</v>
      </c>
      <c r="I578" s="792">
        <f t="shared" si="34"/>
        <v>0</v>
      </c>
      <c r="J578" s="792"/>
      <c r="K578" s="812"/>
      <c r="L578" s="796"/>
      <c r="M578" s="812"/>
      <c r="N578" s="796"/>
      <c r="O578" s="796"/>
    </row>
    <row r="579" spans="3:15">
      <c r="C579" s="788">
        <f>IF(D545="","-",+C578+1)</f>
        <v>2043</v>
      </c>
      <c r="D579" s="736">
        <f t="shared" si="30"/>
        <v>405021.38526315871</v>
      </c>
      <c r="E579" s="789">
        <f t="shared" si="35"/>
        <v>38573.465263157894</v>
      </c>
      <c r="F579" s="736">
        <f t="shared" si="31"/>
        <v>366447.9200000008</v>
      </c>
      <c r="G579" s="790">
        <f t="shared" si="32"/>
        <v>82232.056847300701</v>
      </c>
      <c r="H579" s="795">
        <f t="shared" si="33"/>
        <v>82232.056847300701</v>
      </c>
      <c r="I579" s="792">
        <f t="shared" si="34"/>
        <v>0</v>
      </c>
      <c r="J579" s="792"/>
      <c r="K579" s="812"/>
      <c r="L579" s="796"/>
      <c r="M579" s="812"/>
      <c r="N579" s="796"/>
      <c r="O579" s="796"/>
    </row>
    <row r="580" spans="3:15">
      <c r="C580" s="788">
        <f>IF(D545="","-",+C579+1)</f>
        <v>2044</v>
      </c>
      <c r="D580" s="736">
        <f t="shared" si="30"/>
        <v>366447.9200000008</v>
      </c>
      <c r="E580" s="789">
        <f t="shared" si="35"/>
        <v>38573.465263157894</v>
      </c>
      <c r="F580" s="736">
        <f t="shared" si="31"/>
        <v>327874.45473684289</v>
      </c>
      <c r="G580" s="794">
        <f t="shared" si="32"/>
        <v>77866.197688886416</v>
      </c>
      <c r="H580" s="795">
        <f t="shared" si="33"/>
        <v>77866.197688886416</v>
      </c>
      <c r="I580" s="792">
        <f t="shared" si="34"/>
        <v>0</v>
      </c>
      <c r="J580" s="792"/>
      <c r="K580" s="812"/>
      <c r="L580" s="796"/>
      <c r="M580" s="812"/>
      <c r="N580" s="796"/>
      <c r="O580" s="796"/>
    </row>
    <row r="581" spans="3:15">
      <c r="C581" s="788">
        <f>IF(D545="","-",+C580+1)</f>
        <v>2045</v>
      </c>
      <c r="D581" s="736">
        <f t="shared" si="30"/>
        <v>327874.45473684289</v>
      </c>
      <c r="E581" s="789">
        <f t="shared" si="35"/>
        <v>38573.465263157894</v>
      </c>
      <c r="F581" s="736">
        <f t="shared" si="31"/>
        <v>289300.98947368498</v>
      </c>
      <c r="G581" s="794">
        <f t="shared" si="32"/>
        <v>73500.338530472145</v>
      </c>
      <c r="H581" s="795">
        <f t="shared" si="33"/>
        <v>73500.338530472145</v>
      </c>
      <c r="I581" s="792">
        <f t="shared" si="34"/>
        <v>0</v>
      </c>
      <c r="J581" s="792"/>
      <c r="K581" s="812"/>
      <c r="L581" s="796"/>
      <c r="M581" s="812"/>
      <c r="N581" s="796"/>
      <c r="O581" s="796"/>
    </row>
    <row r="582" spans="3:15">
      <c r="C582" s="788">
        <f>IF(D545="","-",+C581+1)</f>
        <v>2046</v>
      </c>
      <c r="D582" s="736">
        <f t="shared" si="30"/>
        <v>289300.98947368498</v>
      </c>
      <c r="E582" s="789">
        <f t="shared" si="35"/>
        <v>38573.465263157894</v>
      </c>
      <c r="F582" s="736">
        <f t="shared" si="31"/>
        <v>250727.52421052707</v>
      </c>
      <c r="G582" s="794">
        <f t="shared" si="32"/>
        <v>69134.479372057875</v>
      </c>
      <c r="H582" s="795">
        <f t="shared" si="33"/>
        <v>69134.479372057875</v>
      </c>
      <c r="I582" s="792">
        <f t="shared" si="34"/>
        <v>0</v>
      </c>
      <c r="J582" s="792"/>
      <c r="K582" s="812"/>
      <c r="L582" s="796"/>
      <c r="M582" s="812"/>
      <c r="N582" s="796"/>
      <c r="O582" s="796"/>
    </row>
    <row r="583" spans="3:15">
      <c r="C583" s="788">
        <f>IF(D545="","-",+C582+1)</f>
        <v>2047</v>
      </c>
      <c r="D583" s="736">
        <f t="shared" si="30"/>
        <v>250727.52421052707</v>
      </c>
      <c r="E583" s="789">
        <f t="shared" si="35"/>
        <v>38573.465263157894</v>
      </c>
      <c r="F583" s="736">
        <f t="shared" si="31"/>
        <v>212154.05894736917</v>
      </c>
      <c r="G583" s="794">
        <f t="shared" si="32"/>
        <v>64768.620213643604</v>
      </c>
      <c r="H583" s="795">
        <f t="shared" si="33"/>
        <v>64768.620213643604</v>
      </c>
      <c r="I583" s="792">
        <f t="shared" si="34"/>
        <v>0</v>
      </c>
      <c r="J583" s="792"/>
      <c r="K583" s="812"/>
      <c r="L583" s="796"/>
      <c r="M583" s="812"/>
      <c r="N583" s="796"/>
      <c r="O583" s="796"/>
    </row>
    <row r="584" spans="3:15">
      <c r="C584" s="788">
        <f>IF(D545="","-",+C583+1)</f>
        <v>2048</v>
      </c>
      <c r="D584" s="736">
        <f t="shared" si="30"/>
        <v>212154.05894736917</v>
      </c>
      <c r="E584" s="789">
        <f t="shared" si="35"/>
        <v>38573.465263157894</v>
      </c>
      <c r="F584" s="736">
        <f t="shared" si="31"/>
        <v>173580.59368421126</v>
      </c>
      <c r="G584" s="794">
        <f t="shared" si="32"/>
        <v>60402.761055229334</v>
      </c>
      <c r="H584" s="795">
        <f t="shared" si="33"/>
        <v>60402.761055229334</v>
      </c>
      <c r="I584" s="792">
        <f t="shared" si="34"/>
        <v>0</v>
      </c>
      <c r="J584" s="792"/>
      <c r="K584" s="812"/>
      <c r="L584" s="796"/>
      <c r="M584" s="812"/>
      <c r="N584" s="796"/>
      <c r="O584" s="796"/>
    </row>
    <row r="585" spans="3:15">
      <c r="C585" s="788">
        <f>IF(D545="","-",+C584+1)</f>
        <v>2049</v>
      </c>
      <c r="D585" s="736">
        <f t="shared" si="30"/>
        <v>173580.59368421126</v>
      </c>
      <c r="E585" s="789">
        <f t="shared" si="35"/>
        <v>38573.465263157894</v>
      </c>
      <c r="F585" s="736">
        <f t="shared" si="31"/>
        <v>135007.12842105335</v>
      </c>
      <c r="G585" s="794">
        <f t="shared" si="32"/>
        <v>56036.901896815056</v>
      </c>
      <c r="H585" s="795">
        <f t="shared" si="33"/>
        <v>56036.901896815056</v>
      </c>
      <c r="I585" s="792">
        <f t="shared" si="34"/>
        <v>0</v>
      </c>
      <c r="J585" s="792"/>
      <c r="K585" s="812"/>
      <c r="L585" s="796"/>
      <c r="M585" s="812"/>
      <c r="N585" s="796"/>
      <c r="O585" s="796"/>
    </row>
    <row r="586" spans="3:15">
      <c r="C586" s="788">
        <f>IF(D545="","-",+C585+1)</f>
        <v>2050</v>
      </c>
      <c r="D586" s="736">
        <f t="shared" si="30"/>
        <v>135007.12842105335</v>
      </c>
      <c r="E586" s="789">
        <f t="shared" si="35"/>
        <v>38573.465263157894</v>
      </c>
      <c r="F586" s="736">
        <f t="shared" si="31"/>
        <v>96433.663157895455</v>
      </c>
      <c r="G586" s="794">
        <f t="shared" si="32"/>
        <v>51671.042738400785</v>
      </c>
      <c r="H586" s="795">
        <f t="shared" si="33"/>
        <v>51671.042738400785</v>
      </c>
      <c r="I586" s="792">
        <f t="shared" si="34"/>
        <v>0</v>
      </c>
      <c r="J586" s="792"/>
      <c r="K586" s="812"/>
      <c r="L586" s="796"/>
      <c r="M586" s="812"/>
      <c r="N586" s="796"/>
      <c r="O586" s="796"/>
    </row>
    <row r="587" spans="3:15">
      <c r="C587" s="788">
        <f>IF(D545="","-",+C586+1)</f>
        <v>2051</v>
      </c>
      <c r="D587" s="736">
        <f t="shared" si="30"/>
        <v>96433.663157895455</v>
      </c>
      <c r="E587" s="789">
        <f t="shared" si="35"/>
        <v>38573.465263157894</v>
      </c>
      <c r="F587" s="736">
        <f t="shared" si="31"/>
        <v>57860.197894737561</v>
      </c>
      <c r="G587" s="794">
        <f t="shared" si="32"/>
        <v>47305.183579986515</v>
      </c>
      <c r="H587" s="795">
        <f t="shared" si="33"/>
        <v>47305.183579986515</v>
      </c>
      <c r="I587" s="792">
        <f t="shared" si="34"/>
        <v>0</v>
      </c>
      <c r="J587" s="792"/>
      <c r="K587" s="812"/>
      <c r="L587" s="796"/>
      <c r="M587" s="812"/>
      <c r="N587" s="796"/>
      <c r="O587" s="796"/>
    </row>
    <row r="588" spans="3:15">
      <c r="C588" s="788">
        <f>IF(D545="","-",+C587+1)</f>
        <v>2052</v>
      </c>
      <c r="D588" s="736">
        <f t="shared" si="30"/>
        <v>57860.197894737561</v>
      </c>
      <c r="E588" s="789">
        <f t="shared" si="35"/>
        <v>38573.465263157894</v>
      </c>
      <c r="F588" s="736">
        <f t="shared" si="31"/>
        <v>19286.732631579667</v>
      </c>
      <c r="G588" s="794">
        <f t="shared" si="32"/>
        <v>42939.324421572244</v>
      </c>
      <c r="H588" s="795">
        <f t="shared" si="33"/>
        <v>42939.324421572244</v>
      </c>
      <c r="I588" s="792">
        <f t="shared" si="34"/>
        <v>0</v>
      </c>
      <c r="J588" s="792"/>
      <c r="K588" s="812"/>
      <c r="L588" s="796"/>
      <c r="M588" s="812"/>
      <c r="N588" s="796"/>
      <c r="O588" s="796"/>
    </row>
    <row r="589" spans="3:15">
      <c r="C589" s="788">
        <f>IF(D545="","-",+C588+1)</f>
        <v>2053</v>
      </c>
      <c r="D589" s="736">
        <f t="shared" si="30"/>
        <v>19286.732631579667</v>
      </c>
      <c r="E589" s="789">
        <f t="shared" si="35"/>
        <v>19286.732631579667</v>
      </c>
      <c r="F589" s="736">
        <f t="shared" si="31"/>
        <v>0</v>
      </c>
      <c r="G589" s="794">
        <f t="shared" si="32"/>
        <v>20378.197421183275</v>
      </c>
      <c r="H589" s="795">
        <f t="shared" si="33"/>
        <v>20378.197421183275</v>
      </c>
      <c r="I589" s="792">
        <f t="shared" si="34"/>
        <v>0</v>
      </c>
      <c r="J589" s="792"/>
      <c r="K589" s="812"/>
      <c r="L589" s="796"/>
      <c r="M589" s="812"/>
      <c r="N589" s="796"/>
      <c r="O589" s="796"/>
    </row>
    <row r="590" spans="3:15">
      <c r="C590" s="788">
        <f>IF(D545="","-",+C589+1)</f>
        <v>2054</v>
      </c>
      <c r="D590" s="736">
        <f t="shared" si="30"/>
        <v>0</v>
      </c>
      <c r="E590" s="789">
        <f t="shared" si="35"/>
        <v>0</v>
      </c>
      <c r="F590" s="736">
        <f t="shared" si="31"/>
        <v>0</v>
      </c>
      <c r="G590" s="794">
        <f t="shared" si="32"/>
        <v>0</v>
      </c>
      <c r="H590" s="795">
        <f t="shared" si="33"/>
        <v>0</v>
      </c>
      <c r="I590" s="792">
        <f t="shared" si="34"/>
        <v>0</v>
      </c>
      <c r="J590" s="792"/>
      <c r="K590" s="812"/>
      <c r="L590" s="796"/>
      <c r="M590" s="812"/>
      <c r="N590" s="796"/>
      <c r="O590" s="796"/>
    </row>
    <row r="591" spans="3:15">
      <c r="C591" s="788">
        <f>IF(D545="","-",+C590+1)</f>
        <v>2055</v>
      </c>
      <c r="D591" s="736">
        <f t="shared" si="30"/>
        <v>0</v>
      </c>
      <c r="E591" s="789">
        <f t="shared" si="35"/>
        <v>0</v>
      </c>
      <c r="F591" s="736">
        <f t="shared" si="31"/>
        <v>0</v>
      </c>
      <c r="G591" s="794">
        <f t="shared" si="32"/>
        <v>0</v>
      </c>
      <c r="H591" s="795">
        <f t="shared" si="33"/>
        <v>0</v>
      </c>
      <c r="I591" s="792">
        <f t="shared" si="34"/>
        <v>0</v>
      </c>
      <c r="J591" s="792"/>
      <c r="K591" s="812"/>
      <c r="L591" s="796"/>
      <c r="M591" s="812"/>
      <c r="N591" s="796"/>
      <c r="O591" s="796"/>
    </row>
    <row r="592" spans="3:15">
      <c r="C592" s="788">
        <f>IF(D545="","-",+C591+1)</f>
        <v>2056</v>
      </c>
      <c r="D592" s="736">
        <f t="shared" si="30"/>
        <v>0</v>
      </c>
      <c r="E592" s="789">
        <f t="shared" si="35"/>
        <v>0</v>
      </c>
      <c r="F592" s="736">
        <f t="shared" si="31"/>
        <v>0</v>
      </c>
      <c r="G592" s="794">
        <f t="shared" si="32"/>
        <v>0</v>
      </c>
      <c r="H592" s="795">
        <f t="shared" si="33"/>
        <v>0</v>
      </c>
      <c r="I592" s="792">
        <f t="shared" si="34"/>
        <v>0</v>
      </c>
      <c r="J592" s="792"/>
      <c r="K592" s="812"/>
      <c r="L592" s="796"/>
      <c r="M592" s="812"/>
      <c r="N592" s="796"/>
      <c r="O592" s="796"/>
    </row>
    <row r="593" spans="3:15">
      <c r="C593" s="788">
        <f>IF(D545="","-",+C592+1)</f>
        <v>2057</v>
      </c>
      <c r="D593" s="736">
        <f t="shared" si="30"/>
        <v>0</v>
      </c>
      <c r="E593" s="789">
        <f t="shared" si="35"/>
        <v>0</v>
      </c>
      <c r="F593" s="736">
        <f t="shared" si="31"/>
        <v>0</v>
      </c>
      <c r="G593" s="794">
        <f t="shared" si="32"/>
        <v>0</v>
      </c>
      <c r="H593" s="795">
        <f t="shared" si="33"/>
        <v>0</v>
      </c>
      <c r="I593" s="792">
        <f t="shared" si="34"/>
        <v>0</v>
      </c>
      <c r="J593" s="792"/>
      <c r="K593" s="812"/>
      <c r="L593" s="796"/>
      <c r="M593" s="812"/>
      <c r="N593" s="796"/>
      <c r="O593" s="796"/>
    </row>
    <row r="594" spans="3:15">
      <c r="C594" s="788">
        <f>IF(D545="","-",+C593+1)</f>
        <v>2058</v>
      </c>
      <c r="D594" s="736">
        <f t="shared" si="30"/>
        <v>0</v>
      </c>
      <c r="E594" s="789">
        <f t="shared" si="35"/>
        <v>0</v>
      </c>
      <c r="F594" s="736">
        <f t="shared" si="31"/>
        <v>0</v>
      </c>
      <c r="G594" s="794">
        <f t="shared" si="32"/>
        <v>0</v>
      </c>
      <c r="H594" s="795">
        <f t="shared" si="33"/>
        <v>0</v>
      </c>
      <c r="I594" s="792">
        <f t="shared" si="34"/>
        <v>0</v>
      </c>
      <c r="J594" s="792"/>
      <c r="K594" s="812"/>
      <c r="L594" s="796"/>
      <c r="M594" s="812"/>
      <c r="N594" s="796"/>
      <c r="O594" s="796"/>
    </row>
    <row r="595" spans="3:15">
      <c r="C595" s="788">
        <f>IF(D545="","-",+C594+1)</f>
        <v>2059</v>
      </c>
      <c r="D595" s="736">
        <f t="shared" si="30"/>
        <v>0</v>
      </c>
      <c r="E595" s="789">
        <f t="shared" si="35"/>
        <v>0</v>
      </c>
      <c r="F595" s="736">
        <f t="shared" si="31"/>
        <v>0</v>
      </c>
      <c r="G595" s="794">
        <f t="shared" si="32"/>
        <v>0</v>
      </c>
      <c r="H595" s="795">
        <f t="shared" si="33"/>
        <v>0</v>
      </c>
      <c r="I595" s="792">
        <f t="shared" si="34"/>
        <v>0</v>
      </c>
      <c r="J595" s="792"/>
      <c r="K595" s="812"/>
      <c r="L595" s="796"/>
      <c r="M595" s="812"/>
      <c r="N595" s="796"/>
      <c r="O595" s="796"/>
    </row>
    <row r="596" spans="3:15">
      <c r="C596" s="788">
        <f>IF(D545="","-",+C595+1)</f>
        <v>2060</v>
      </c>
      <c r="D596" s="736">
        <f t="shared" si="30"/>
        <v>0</v>
      </c>
      <c r="E596" s="789">
        <f t="shared" si="35"/>
        <v>0</v>
      </c>
      <c r="F596" s="736">
        <f t="shared" si="31"/>
        <v>0</v>
      </c>
      <c r="G596" s="794">
        <f t="shared" si="32"/>
        <v>0</v>
      </c>
      <c r="H596" s="795">
        <f t="shared" si="33"/>
        <v>0</v>
      </c>
      <c r="I596" s="792">
        <f t="shared" si="34"/>
        <v>0</v>
      </c>
      <c r="J596" s="792"/>
      <c r="K596" s="812"/>
      <c r="L596" s="796"/>
      <c r="M596" s="812"/>
      <c r="N596" s="796"/>
      <c r="O596" s="796"/>
    </row>
    <row r="597" spans="3:15">
      <c r="C597" s="788">
        <f>IF(D545="","-",+C596+1)</f>
        <v>2061</v>
      </c>
      <c r="D597" s="736">
        <f t="shared" si="30"/>
        <v>0</v>
      </c>
      <c r="E597" s="789">
        <f t="shared" si="35"/>
        <v>0</v>
      </c>
      <c r="F597" s="736">
        <f t="shared" si="31"/>
        <v>0</v>
      </c>
      <c r="G597" s="794">
        <f t="shared" si="32"/>
        <v>0</v>
      </c>
      <c r="H597" s="795">
        <f t="shared" si="33"/>
        <v>0</v>
      </c>
      <c r="I597" s="792">
        <f t="shared" si="34"/>
        <v>0</v>
      </c>
      <c r="J597" s="792"/>
      <c r="K597" s="812"/>
      <c r="L597" s="796"/>
      <c r="M597" s="812"/>
      <c r="N597" s="796"/>
      <c r="O597" s="796"/>
    </row>
    <row r="598" spans="3:15">
      <c r="C598" s="788">
        <f>IF(D545="","-",+C597+1)</f>
        <v>2062</v>
      </c>
      <c r="D598" s="736">
        <f t="shared" si="30"/>
        <v>0</v>
      </c>
      <c r="E598" s="789">
        <f t="shared" si="35"/>
        <v>0</v>
      </c>
      <c r="F598" s="736">
        <f t="shared" si="31"/>
        <v>0</v>
      </c>
      <c r="G598" s="794">
        <f t="shared" si="32"/>
        <v>0</v>
      </c>
      <c r="H598" s="795">
        <f t="shared" si="33"/>
        <v>0</v>
      </c>
      <c r="I598" s="792">
        <f t="shared" si="34"/>
        <v>0</v>
      </c>
      <c r="J598" s="792"/>
      <c r="K598" s="812"/>
      <c r="L598" s="796"/>
      <c r="M598" s="812"/>
      <c r="N598" s="796"/>
      <c r="O598" s="796"/>
    </row>
    <row r="599" spans="3:15">
      <c r="C599" s="788">
        <f>IF(D545="","-",+C598+1)</f>
        <v>2063</v>
      </c>
      <c r="D599" s="736">
        <f t="shared" si="30"/>
        <v>0</v>
      </c>
      <c r="E599" s="789">
        <f t="shared" si="35"/>
        <v>0</v>
      </c>
      <c r="F599" s="736">
        <f t="shared" si="31"/>
        <v>0</v>
      </c>
      <c r="G599" s="794">
        <f t="shared" si="32"/>
        <v>0</v>
      </c>
      <c r="H599" s="795">
        <f t="shared" si="33"/>
        <v>0</v>
      </c>
      <c r="I599" s="792">
        <f t="shared" si="34"/>
        <v>0</v>
      </c>
      <c r="J599" s="792"/>
      <c r="K599" s="812"/>
      <c r="L599" s="796"/>
      <c r="M599" s="812"/>
      <c r="N599" s="796"/>
      <c r="O599" s="796"/>
    </row>
    <row r="600" spans="3:15">
      <c r="C600" s="788">
        <f>IF(D545="","-",+C599+1)</f>
        <v>2064</v>
      </c>
      <c r="D600" s="736">
        <f t="shared" si="30"/>
        <v>0</v>
      </c>
      <c r="E600" s="789">
        <f t="shared" si="35"/>
        <v>0</v>
      </c>
      <c r="F600" s="736">
        <f t="shared" si="31"/>
        <v>0</v>
      </c>
      <c r="G600" s="794">
        <f t="shared" si="32"/>
        <v>0</v>
      </c>
      <c r="H600" s="795">
        <f t="shared" si="33"/>
        <v>0</v>
      </c>
      <c r="I600" s="792">
        <f t="shared" si="34"/>
        <v>0</v>
      </c>
      <c r="J600" s="792"/>
      <c r="K600" s="812"/>
      <c r="L600" s="796"/>
      <c r="M600" s="812"/>
      <c r="N600" s="796"/>
      <c r="O600" s="796"/>
    </row>
    <row r="601" spans="3:15">
      <c r="C601" s="788">
        <f>IF(D545="","-",+C600+1)</f>
        <v>2065</v>
      </c>
      <c r="D601" s="736">
        <f t="shared" si="30"/>
        <v>0</v>
      </c>
      <c r="E601" s="789">
        <f t="shared" si="35"/>
        <v>0</v>
      </c>
      <c r="F601" s="736">
        <f t="shared" si="31"/>
        <v>0</v>
      </c>
      <c r="G601" s="794">
        <f t="shared" si="32"/>
        <v>0</v>
      </c>
      <c r="H601" s="795">
        <f t="shared" si="33"/>
        <v>0</v>
      </c>
      <c r="I601" s="792">
        <f t="shared" si="34"/>
        <v>0</v>
      </c>
      <c r="J601" s="792"/>
      <c r="K601" s="812"/>
      <c r="L601" s="796"/>
      <c r="M601" s="812"/>
      <c r="N601" s="796"/>
      <c r="O601" s="796"/>
    </row>
    <row r="602" spans="3:15">
      <c r="C602" s="788">
        <f>IF(D545="","-",+C601+1)</f>
        <v>2066</v>
      </c>
      <c r="D602" s="736">
        <f t="shared" si="30"/>
        <v>0</v>
      </c>
      <c r="E602" s="789">
        <f t="shared" si="35"/>
        <v>0</v>
      </c>
      <c r="F602" s="736">
        <f t="shared" si="31"/>
        <v>0</v>
      </c>
      <c r="G602" s="794">
        <f t="shared" si="32"/>
        <v>0</v>
      </c>
      <c r="H602" s="795">
        <f t="shared" si="33"/>
        <v>0</v>
      </c>
      <c r="I602" s="792">
        <f t="shared" si="34"/>
        <v>0</v>
      </c>
      <c r="J602" s="792"/>
      <c r="K602" s="812"/>
      <c r="L602" s="796"/>
      <c r="M602" s="812"/>
      <c r="N602" s="796"/>
      <c r="O602" s="796"/>
    </row>
    <row r="603" spans="3:15">
      <c r="C603" s="788">
        <f>IF(D545="","-",+C602+1)</f>
        <v>2067</v>
      </c>
      <c r="D603" s="736">
        <f t="shared" si="30"/>
        <v>0</v>
      </c>
      <c r="E603" s="789">
        <f t="shared" si="35"/>
        <v>0</v>
      </c>
      <c r="F603" s="736">
        <f t="shared" si="31"/>
        <v>0</v>
      </c>
      <c r="G603" s="794">
        <f t="shared" si="32"/>
        <v>0</v>
      </c>
      <c r="H603" s="795">
        <f t="shared" si="33"/>
        <v>0</v>
      </c>
      <c r="I603" s="792">
        <f t="shared" si="34"/>
        <v>0</v>
      </c>
      <c r="J603" s="792"/>
      <c r="K603" s="812"/>
      <c r="L603" s="796"/>
      <c r="M603" s="812"/>
      <c r="N603" s="796"/>
      <c r="O603" s="796"/>
    </row>
    <row r="604" spans="3:15">
      <c r="C604" s="788">
        <f>IF(D545="","-",+C603+1)</f>
        <v>2068</v>
      </c>
      <c r="D604" s="736">
        <f t="shared" si="30"/>
        <v>0</v>
      </c>
      <c r="E604" s="789">
        <f t="shared" si="35"/>
        <v>0</v>
      </c>
      <c r="F604" s="736">
        <f t="shared" si="31"/>
        <v>0</v>
      </c>
      <c r="G604" s="794">
        <f t="shared" si="32"/>
        <v>0</v>
      </c>
      <c r="H604" s="795">
        <f t="shared" si="33"/>
        <v>0</v>
      </c>
      <c r="I604" s="792">
        <f t="shared" si="34"/>
        <v>0</v>
      </c>
      <c r="J604" s="792"/>
      <c r="K604" s="812"/>
      <c r="L604" s="796"/>
      <c r="M604" s="812"/>
      <c r="N604" s="796"/>
      <c r="O604" s="796"/>
    </row>
    <row r="605" spans="3:15">
      <c r="C605" s="788">
        <f>IF(D545="","-",+C604+1)</f>
        <v>2069</v>
      </c>
      <c r="D605" s="736">
        <f t="shared" si="30"/>
        <v>0</v>
      </c>
      <c r="E605" s="789">
        <f t="shared" si="35"/>
        <v>0</v>
      </c>
      <c r="F605" s="736">
        <f t="shared" si="31"/>
        <v>0</v>
      </c>
      <c r="G605" s="794">
        <f t="shared" si="32"/>
        <v>0</v>
      </c>
      <c r="H605" s="795">
        <f t="shared" si="33"/>
        <v>0</v>
      </c>
      <c r="I605" s="792">
        <f t="shared" si="34"/>
        <v>0</v>
      </c>
      <c r="J605" s="792"/>
      <c r="K605" s="812"/>
      <c r="L605" s="796"/>
      <c r="M605" s="812"/>
      <c r="N605" s="796"/>
      <c r="O605" s="796"/>
    </row>
    <row r="606" spans="3:15">
      <c r="C606" s="788">
        <f>IF(D545="","-",+C605+1)</f>
        <v>2070</v>
      </c>
      <c r="D606" s="736">
        <f t="shared" si="30"/>
        <v>0</v>
      </c>
      <c r="E606" s="789">
        <f t="shared" si="35"/>
        <v>0</v>
      </c>
      <c r="F606" s="736">
        <f t="shared" si="31"/>
        <v>0</v>
      </c>
      <c r="G606" s="794">
        <f t="shared" si="32"/>
        <v>0</v>
      </c>
      <c r="H606" s="795">
        <f t="shared" si="33"/>
        <v>0</v>
      </c>
      <c r="I606" s="792">
        <f t="shared" si="34"/>
        <v>0</v>
      </c>
      <c r="J606" s="792"/>
      <c r="K606" s="812"/>
      <c r="L606" s="796"/>
      <c r="M606" s="812"/>
      <c r="N606" s="796"/>
      <c r="O606" s="796"/>
    </row>
    <row r="607" spans="3:15">
      <c r="C607" s="788">
        <f>IF(D545="","-",+C606+1)</f>
        <v>2071</v>
      </c>
      <c r="D607" s="736">
        <f t="shared" si="30"/>
        <v>0</v>
      </c>
      <c r="E607" s="789">
        <f t="shared" si="35"/>
        <v>0</v>
      </c>
      <c r="F607" s="736">
        <f t="shared" si="31"/>
        <v>0</v>
      </c>
      <c r="G607" s="794">
        <f t="shared" si="32"/>
        <v>0</v>
      </c>
      <c r="H607" s="795">
        <f t="shared" si="33"/>
        <v>0</v>
      </c>
      <c r="I607" s="792">
        <f t="shared" si="34"/>
        <v>0</v>
      </c>
      <c r="J607" s="792"/>
      <c r="K607" s="812"/>
      <c r="L607" s="796"/>
      <c r="M607" s="812"/>
      <c r="N607" s="796"/>
      <c r="O607" s="796"/>
    </row>
    <row r="608" spans="3:15">
      <c r="C608" s="788">
        <f>IF(D545="","-",+C607+1)</f>
        <v>2072</v>
      </c>
      <c r="D608" s="736">
        <f t="shared" si="30"/>
        <v>0</v>
      </c>
      <c r="E608" s="789">
        <f t="shared" si="35"/>
        <v>0</v>
      </c>
      <c r="F608" s="736">
        <f t="shared" si="31"/>
        <v>0</v>
      </c>
      <c r="G608" s="794">
        <f t="shared" si="32"/>
        <v>0</v>
      </c>
      <c r="H608" s="795">
        <f t="shared" si="33"/>
        <v>0</v>
      </c>
      <c r="I608" s="792">
        <f t="shared" si="34"/>
        <v>0</v>
      </c>
      <c r="J608" s="792"/>
      <c r="K608" s="812"/>
      <c r="L608" s="796"/>
      <c r="M608" s="812"/>
      <c r="N608" s="796"/>
      <c r="O608" s="796"/>
    </row>
    <row r="609" spans="1:16">
      <c r="C609" s="788">
        <f>IF(D545="","-",+C608+1)</f>
        <v>2073</v>
      </c>
      <c r="D609" s="736">
        <f t="shared" si="30"/>
        <v>0</v>
      </c>
      <c r="E609" s="789">
        <f t="shared" si="35"/>
        <v>0</v>
      </c>
      <c r="F609" s="736">
        <f t="shared" si="31"/>
        <v>0</v>
      </c>
      <c r="G609" s="794">
        <f t="shared" si="32"/>
        <v>0</v>
      </c>
      <c r="H609" s="795">
        <f t="shared" si="33"/>
        <v>0</v>
      </c>
      <c r="I609" s="792">
        <f t="shared" si="34"/>
        <v>0</v>
      </c>
      <c r="J609" s="792"/>
      <c r="K609" s="812"/>
      <c r="L609" s="796"/>
      <c r="M609" s="812"/>
      <c r="N609" s="796"/>
      <c r="O609" s="796"/>
    </row>
    <row r="610" spans="1:16" ht="13.5" thickBot="1">
      <c r="C610" s="798">
        <f>IF(D545="","-",+C609+1)</f>
        <v>2074</v>
      </c>
      <c r="D610" s="799">
        <f t="shared" si="30"/>
        <v>0</v>
      </c>
      <c r="E610" s="800">
        <f t="shared" si="35"/>
        <v>0</v>
      </c>
      <c r="F610" s="799">
        <f t="shared" si="31"/>
        <v>0</v>
      </c>
      <c r="G610" s="801">
        <f t="shared" si="32"/>
        <v>0</v>
      </c>
      <c r="H610" s="801">
        <f t="shared" si="33"/>
        <v>0</v>
      </c>
      <c r="I610" s="802">
        <f t="shared" si="34"/>
        <v>0</v>
      </c>
      <c r="J610" s="792"/>
      <c r="K610" s="813"/>
      <c r="L610" s="803"/>
      <c r="M610" s="813"/>
      <c r="N610" s="803"/>
      <c r="O610" s="803"/>
    </row>
    <row r="611" spans="1:16">
      <c r="C611" s="736" t="s">
        <v>83</v>
      </c>
      <c r="D611" s="730"/>
      <c r="E611" s="730">
        <f>SUM(E551:E610)</f>
        <v>1465791.68</v>
      </c>
      <c r="F611" s="730"/>
      <c r="G611" s="730">
        <f>SUM(G551:G610)</f>
        <v>4700893.3163849777</v>
      </c>
      <c r="H611" s="730">
        <f>SUM(H551:H610)</f>
        <v>4700893.3163849777</v>
      </c>
      <c r="I611" s="730">
        <f>SUM(I551:I610)</f>
        <v>0</v>
      </c>
      <c r="J611" s="730"/>
      <c r="K611" s="730"/>
      <c r="L611" s="730"/>
      <c r="M611" s="730"/>
      <c r="N611" s="730"/>
      <c r="O611" s="314"/>
    </row>
    <row r="612" spans="1:16">
      <c r="D612" s="538"/>
      <c r="E612" s="314"/>
      <c r="F612" s="314"/>
      <c r="G612" s="314"/>
      <c r="H612" s="708"/>
      <c r="I612" s="708"/>
      <c r="J612" s="730"/>
      <c r="K612" s="708"/>
      <c r="L612" s="708"/>
      <c r="M612" s="708"/>
      <c r="N612" s="708"/>
      <c r="O612" s="314"/>
    </row>
    <row r="613" spans="1:16">
      <c r="C613" s="314" t="s">
        <v>13</v>
      </c>
      <c r="D613" s="538"/>
      <c r="E613" s="314"/>
      <c r="F613" s="314"/>
      <c r="G613" s="314"/>
      <c r="H613" s="708"/>
      <c r="I613" s="708"/>
      <c r="J613" s="730"/>
      <c r="K613" s="708"/>
      <c r="L613" s="708"/>
      <c r="M613" s="708"/>
      <c r="N613" s="708"/>
      <c r="O613" s="314"/>
    </row>
    <row r="614" spans="1:16">
      <c r="C614" s="314"/>
      <c r="D614" s="538"/>
      <c r="E614" s="314"/>
      <c r="F614" s="314"/>
      <c r="G614" s="314"/>
      <c r="H614" s="708"/>
      <c r="I614" s="708"/>
      <c r="J614" s="730"/>
      <c r="K614" s="708"/>
      <c r="L614" s="708"/>
      <c r="M614" s="708"/>
      <c r="N614" s="708"/>
      <c r="O614" s="314"/>
    </row>
    <row r="615" spans="1:16">
      <c r="C615" s="749" t="s">
        <v>14</v>
      </c>
      <c r="D615" s="736"/>
      <c r="E615" s="736"/>
      <c r="F615" s="736"/>
      <c r="G615" s="730"/>
      <c r="H615" s="730"/>
      <c r="I615" s="804"/>
      <c r="J615" s="804"/>
      <c r="K615" s="804"/>
      <c r="L615" s="804"/>
      <c r="M615" s="804"/>
      <c r="N615" s="804"/>
      <c r="O615" s="314"/>
    </row>
    <row r="616" spans="1:16">
      <c r="C616" s="735" t="s">
        <v>263</v>
      </c>
      <c r="D616" s="736"/>
      <c r="E616" s="736"/>
      <c r="F616" s="736"/>
      <c r="G616" s="730"/>
      <c r="H616" s="730"/>
      <c r="I616" s="804"/>
      <c r="J616" s="804"/>
      <c r="K616" s="804"/>
      <c r="L616" s="804"/>
      <c r="M616" s="804"/>
      <c r="N616" s="804"/>
      <c r="O616" s="314"/>
    </row>
    <row r="617" spans="1:16">
      <c r="C617" s="735" t="s">
        <v>84</v>
      </c>
      <c r="D617" s="736"/>
      <c r="E617" s="736"/>
      <c r="F617" s="736"/>
      <c r="G617" s="730"/>
      <c r="H617" s="730"/>
      <c r="I617" s="804"/>
      <c r="J617" s="804"/>
      <c r="K617" s="804"/>
      <c r="L617" s="804"/>
      <c r="M617" s="804"/>
      <c r="N617" s="804"/>
      <c r="O617" s="314"/>
    </row>
    <row r="618" spans="1:16">
      <c r="C618" s="735"/>
      <c r="D618" s="736"/>
      <c r="E618" s="736"/>
      <c r="F618" s="736"/>
      <c r="G618" s="730"/>
      <c r="H618" s="730"/>
      <c r="I618" s="804"/>
      <c r="J618" s="804"/>
      <c r="K618" s="804"/>
      <c r="L618" s="804"/>
      <c r="M618" s="804"/>
      <c r="N618" s="804"/>
      <c r="O618" s="314"/>
    </row>
    <row r="619" spans="1:16">
      <c r="C619" s="1526" t="s">
        <v>6</v>
      </c>
      <c r="D619" s="1526"/>
      <c r="E619" s="1526"/>
      <c r="F619" s="1526"/>
      <c r="G619" s="1526"/>
      <c r="H619" s="1526"/>
      <c r="I619" s="1526"/>
      <c r="J619" s="1526"/>
      <c r="K619" s="1526"/>
      <c r="L619" s="1526"/>
      <c r="M619" s="1526"/>
      <c r="N619" s="1526"/>
      <c r="O619" s="1526"/>
    </row>
    <row r="620" spans="1:16">
      <c r="C620" s="1526"/>
      <c r="D620" s="1526"/>
      <c r="E620" s="1526"/>
      <c r="F620" s="1526"/>
      <c r="G620" s="1526"/>
      <c r="H620" s="1526"/>
      <c r="I620" s="1526"/>
      <c r="J620" s="1526"/>
      <c r="K620" s="1526"/>
      <c r="L620" s="1526"/>
      <c r="M620" s="1526"/>
      <c r="N620" s="1526"/>
      <c r="O620" s="1526"/>
    </row>
    <row r="621" spans="1:16">
      <c r="C621" s="735"/>
      <c r="D621" s="736"/>
      <c r="E621" s="736"/>
      <c r="F621" s="736"/>
      <c r="G621" s="730"/>
      <c r="H621" s="730"/>
    </row>
    <row r="622" spans="1:16" ht="20.25">
      <c r="A622" s="737" t="str">
        <f>""&amp;A546&amp;" Worksheet J -  ATRR PROJECTED Calculation for PJM Projects Charged to Benefiting Zones"</f>
        <v xml:space="preserve"> Worksheet J -  ATRR PROJECTED Calculation for PJM Projects Charged to Benefiting Zones</v>
      </c>
      <c r="B622" s="348"/>
      <c r="C622" s="725"/>
      <c r="D622" s="538"/>
      <c r="E622" s="314"/>
      <c r="F622" s="707"/>
      <c r="G622" s="314"/>
      <c r="H622" s="708"/>
      <c r="K622" s="564"/>
      <c r="L622" s="564"/>
      <c r="M622" s="564"/>
      <c r="N622" s="653" t="str">
        <f>"Page "&amp;SUM(P$8:P622)&amp;" of "</f>
        <v xml:space="preserve">Page 8 of </v>
      </c>
      <c r="O622" s="654">
        <f>COUNT(P$8:P$56653)</f>
        <v>12</v>
      </c>
      <c r="P622" s="738">
        <v>1</v>
      </c>
    </row>
    <row r="623" spans="1:16">
      <c r="B623" s="348"/>
      <c r="C623" s="314"/>
      <c r="D623" s="538"/>
      <c r="E623" s="314"/>
      <c r="F623" s="314"/>
      <c r="G623" s="314"/>
      <c r="H623" s="708"/>
      <c r="I623" s="314"/>
      <c r="J623" s="427"/>
      <c r="K623" s="314"/>
      <c r="L623" s="314"/>
      <c r="M623" s="314"/>
      <c r="N623" s="314"/>
      <c r="O623" s="314"/>
      <c r="P623" s="427"/>
    </row>
    <row r="624" spans="1:16" ht="18">
      <c r="B624" s="657" t="s">
        <v>464</v>
      </c>
      <c r="C624" s="739" t="s">
        <v>85</v>
      </c>
      <c r="D624" s="538"/>
      <c r="E624" s="314"/>
      <c r="F624" s="314"/>
      <c r="G624" s="314"/>
      <c r="H624" s="708"/>
      <c r="I624" s="708"/>
      <c r="J624" s="730"/>
      <c r="K624" s="708"/>
      <c r="L624" s="708"/>
      <c r="M624" s="708"/>
      <c r="N624" s="708"/>
      <c r="O624" s="314"/>
    </row>
    <row r="625" spans="2:15" ht="18.75">
      <c r="B625" s="657"/>
      <c r="C625" s="656"/>
      <c r="D625" s="538"/>
      <c r="E625" s="314"/>
      <c r="F625" s="314"/>
      <c r="G625" s="314"/>
      <c r="H625" s="708"/>
      <c r="I625" s="708"/>
      <c r="J625" s="730"/>
      <c r="K625" s="708"/>
      <c r="L625" s="708"/>
      <c r="M625" s="708"/>
      <c r="N625" s="708"/>
      <c r="O625" s="314"/>
    </row>
    <row r="626" spans="2:15" ht="18.75">
      <c r="B626" s="657"/>
      <c r="C626" s="656" t="s">
        <v>86</v>
      </c>
      <c r="D626" s="538"/>
      <c r="E626" s="314"/>
      <c r="F626" s="314"/>
      <c r="G626" s="314"/>
      <c r="H626" s="708"/>
      <c r="I626" s="708"/>
      <c r="J626" s="730"/>
      <c r="K626" s="708"/>
      <c r="L626" s="708"/>
      <c r="M626" s="708"/>
      <c r="N626" s="708"/>
      <c r="O626" s="314"/>
    </row>
    <row r="627" spans="2:15" ht="15.75" thickBot="1">
      <c r="C627" s="240"/>
      <c r="D627" s="538"/>
      <c r="E627" s="314"/>
      <c r="F627" s="314"/>
      <c r="G627" s="314"/>
      <c r="H627" s="708"/>
      <c r="I627" s="708"/>
      <c r="J627" s="730"/>
      <c r="K627" s="708"/>
      <c r="L627" s="708"/>
      <c r="M627" s="708"/>
      <c r="N627" s="708"/>
      <c r="O627" s="314"/>
    </row>
    <row r="628" spans="2:15" ht="15.75">
      <c r="C628" s="659" t="s">
        <v>87</v>
      </c>
      <c r="D628" s="538"/>
      <c r="E628" s="314"/>
      <c r="F628" s="314"/>
      <c r="G628" s="806"/>
      <c r="H628" s="314" t="s">
        <v>66</v>
      </c>
      <c r="I628" s="314"/>
      <c r="J628" s="427"/>
      <c r="K628" s="740" t="s">
        <v>91</v>
      </c>
      <c r="L628" s="741"/>
      <c r="M628" s="742"/>
      <c r="N628" s="743">
        <f>IF(I634=0,0,VLOOKUP(I634,C641:O700,5))</f>
        <v>16702883.021798482</v>
      </c>
      <c r="O628" s="314"/>
    </row>
    <row r="629" spans="2:15" ht="15.75">
      <c r="C629" s="659"/>
      <c r="D629" s="538"/>
      <c r="E629" s="314"/>
      <c r="F629" s="314"/>
      <c r="G629" s="314"/>
      <c r="H629" s="744"/>
      <c r="I629" s="744"/>
      <c r="J629" s="745"/>
      <c r="K629" s="746" t="s">
        <v>92</v>
      </c>
      <c r="L629" s="747"/>
      <c r="M629" s="427"/>
      <c r="N629" s="748">
        <f>IF(I634=0,0,VLOOKUP(I634,C641:O700,6))</f>
        <v>16702883.021798482</v>
      </c>
      <c r="O629" s="314"/>
    </row>
    <row r="630" spans="2:15" ht="13.5" thickBot="1">
      <c r="C630" s="749" t="s">
        <v>88</v>
      </c>
      <c r="D630" s="1527" t="s">
        <v>816</v>
      </c>
      <c r="E630" s="1527"/>
      <c r="F630" s="1527"/>
      <c r="G630" s="1527"/>
      <c r="H630" s="1527"/>
      <c r="I630" s="1527"/>
      <c r="J630" s="730"/>
      <c r="K630" s="750" t="s">
        <v>230</v>
      </c>
      <c r="L630" s="751"/>
      <c r="M630" s="751"/>
      <c r="N630" s="752">
        <f>+N629-N628</f>
        <v>0</v>
      </c>
      <c r="O630" s="314"/>
    </row>
    <row r="631" spans="2:15">
      <c r="C631" s="753"/>
      <c r="D631" s="754"/>
      <c r="E631" s="734"/>
      <c r="F631" s="734"/>
      <c r="G631" s="755"/>
      <c r="H631" s="708"/>
      <c r="I631" s="708"/>
      <c r="J631" s="730"/>
      <c r="K631" s="708"/>
      <c r="L631" s="708"/>
      <c r="M631" s="708"/>
      <c r="N631" s="708"/>
      <c r="O631" s="314"/>
    </row>
    <row r="632" spans="2:15" ht="13.5" thickBot="1">
      <c r="C632" s="756"/>
      <c r="D632" s="757"/>
      <c r="E632" s="755"/>
      <c r="F632" s="755"/>
      <c r="G632" s="755"/>
      <c r="H632" s="755"/>
      <c r="I632" s="755"/>
      <c r="J632" s="758"/>
      <c r="K632" s="755"/>
      <c r="L632" s="755"/>
      <c r="M632" s="755"/>
      <c r="N632" s="755"/>
      <c r="O632" s="348"/>
    </row>
    <row r="633" spans="2:15" ht="13.5" thickBot="1">
      <c r="C633" s="759" t="s">
        <v>89</v>
      </c>
      <c r="D633" s="760"/>
      <c r="E633" s="760"/>
      <c r="F633" s="760"/>
      <c r="G633" s="760"/>
      <c r="H633" s="760"/>
      <c r="I633" s="761"/>
      <c r="J633" s="762"/>
      <c r="K633" s="314"/>
      <c r="L633" s="314"/>
      <c r="M633" s="314"/>
      <c r="N633" s="314"/>
      <c r="O633" s="763"/>
    </row>
    <row r="634" spans="2:15" ht="15">
      <c r="C634" s="764" t="s">
        <v>67</v>
      </c>
      <c r="D634" s="808">
        <v>152585742.49000001</v>
      </c>
      <c r="E634" s="725" t="s">
        <v>68</v>
      </c>
      <c r="G634" s="765"/>
      <c r="H634" s="765"/>
      <c r="I634" s="766">
        <f>$L$26</f>
        <v>2025</v>
      </c>
      <c r="J634" s="554"/>
      <c r="K634" s="1528" t="s">
        <v>239</v>
      </c>
      <c r="L634" s="1528"/>
      <c r="M634" s="1528"/>
      <c r="N634" s="1528"/>
      <c r="O634" s="1528"/>
    </row>
    <row r="635" spans="2:15">
      <c r="C635" s="764" t="s">
        <v>70</v>
      </c>
      <c r="D635" s="809">
        <v>2015</v>
      </c>
      <c r="E635" s="764" t="s">
        <v>71</v>
      </c>
      <c r="F635" s="765"/>
      <c r="H635" s="173"/>
      <c r="I635" s="810">
        <f>IF(G628="",0,$F$17)</f>
        <v>0</v>
      </c>
      <c r="J635" s="767"/>
      <c r="K635" s="730" t="s">
        <v>239</v>
      </c>
    </row>
    <row r="636" spans="2:15">
      <c r="C636" s="764" t="s">
        <v>72</v>
      </c>
      <c r="D636" s="808">
        <v>5</v>
      </c>
      <c r="E636" s="764" t="s">
        <v>73</v>
      </c>
      <c r="F636" s="765"/>
      <c r="H636" s="173"/>
      <c r="I636" s="768">
        <f>$G$70</f>
        <v>0.11318296473052861</v>
      </c>
      <c r="J636" s="769"/>
      <c r="K636" s="173" t="str">
        <f>"          INPUT PROJECTED ARR (WITH &amp; WITHOUT INCENTIVES) FROM EACH PRIOR YEAR"</f>
        <v xml:space="preserve">          INPUT PROJECTED ARR (WITH &amp; WITHOUT INCENTIVES) FROM EACH PRIOR YEAR</v>
      </c>
    </row>
    <row r="637" spans="2:15">
      <c r="C637" s="764" t="s">
        <v>74</v>
      </c>
      <c r="D637" s="770">
        <f>$G$79</f>
        <v>38</v>
      </c>
      <c r="E637" s="764" t="s">
        <v>75</v>
      </c>
      <c r="F637" s="765"/>
      <c r="H637" s="173"/>
      <c r="I637" s="768">
        <f>IF(G628="",I636,$G$69)</f>
        <v>0.11318296473052861</v>
      </c>
      <c r="J637" s="771"/>
      <c r="K637" s="173" t="s">
        <v>152</v>
      </c>
    </row>
    <row r="638" spans="2:15" ht="13.5" thickBot="1">
      <c r="C638" s="764" t="s">
        <v>76</v>
      </c>
      <c r="D638" s="807" t="s">
        <v>810</v>
      </c>
      <c r="E638" s="772" t="s">
        <v>77</v>
      </c>
      <c r="F638" s="773"/>
      <c r="G638" s="774"/>
      <c r="H638" s="774"/>
      <c r="I638" s="752">
        <f>IF(D634=0,0,D634/D637)</f>
        <v>4015414.2760526319</v>
      </c>
      <c r="J638" s="730"/>
      <c r="K638" s="730" t="s">
        <v>158</v>
      </c>
      <c r="L638" s="730"/>
      <c r="M638" s="730"/>
      <c r="N638" s="730"/>
      <c r="O638" s="427"/>
    </row>
    <row r="639" spans="2:15" ht="38.25">
      <c r="B639" s="845"/>
      <c r="C639" s="775" t="s">
        <v>67</v>
      </c>
      <c r="D639" s="776" t="s">
        <v>78</v>
      </c>
      <c r="E639" s="777" t="s">
        <v>79</v>
      </c>
      <c r="F639" s="776" t="s">
        <v>80</v>
      </c>
      <c r="G639" s="777" t="s">
        <v>151</v>
      </c>
      <c r="H639" s="778" t="s">
        <v>151</v>
      </c>
      <c r="I639" s="775" t="s">
        <v>90</v>
      </c>
      <c r="J639" s="779"/>
      <c r="K639" s="777" t="s">
        <v>160</v>
      </c>
      <c r="L639" s="780"/>
      <c r="M639" s="777" t="s">
        <v>160</v>
      </c>
      <c r="N639" s="780"/>
      <c r="O639" s="780"/>
    </row>
    <row r="640" spans="2:15" ht="13.5" thickBot="1">
      <c r="C640" s="781" t="s">
        <v>467</v>
      </c>
      <c r="D640" s="782" t="s">
        <v>468</v>
      </c>
      <c r="E640" s="781" t="s">
        <v>361</v>
      </c>
      <c r="F640" s="782" t="s">
        <v>468</v>
      </c>
      <c r="G640" s="783" t="s">
        <v>93</v>
      </c>
      <c r="H640" s="784" t="s">
        <v>95</v>
      </c>
      <c r="I640" s="785" t="s">
        <v>15</v>
      </c>
      <c r="J640" s="786"/>
      <c r="K640" s="783" t="s">
        <v>82</v>
      </c>
      <c r="L640" s="787"/>
      <c r="M640" s="783" t="s">
        <v>95</v>
      </c>
      <c r="N640" s="787"/>
      <c r="O640" s="787"/>
    </row>
    <row r="641" spans="3:15">
      <c r="C641" s="788">
        <f>IF(D635= "","-",D635)</f>
        <v>2015</v>
      </c>
      <c r="D641" s="736">
        <f>+D634</f>
        <v>152585742.49000001</v>
      </c>
      <c r="E641" s="789">
        <f>+I638/12*(12-D636)</f>
        <v>2342324.9943640353</v>
      </c>
      <c r="F641" s="736">
        <f>+D641-E641</f>
        <v>150243417.49563599</v>
      </c>
      <c r="G641" s="999">
        <f>+$I$96*((D641+F641)/2)+E641</f>
        <v>19479876.061378956</v>
      </c>
      <c r="H641" s="1000">
        <f>$I$97*((D641+F641)/2)+E641</f>
        <v>19479876.061378956</v>
      </c>
      <c r="I641" s="792">
        <f>+H641-G641</f>
        <v>0</v>
      </c>
      <c r="J641" s="792"/>
      <c r="K641" s="811">
        <v>772367</v>
      </c>
      <c r="L641" s="793"/>
      <c r="M641" s="811">
        <v>772367</v>
      </c>
      <c r="N641" s="793"/>
      <c r="O641" s="793"/>
    </row>
    <row r="642" spans="3:15">
      <c r="C642" s="788">
        <f>IF(D635="","-",+C641+1)</f>
        <v>2016</v>
      </c>
      <c r="D642" s="736">
        <f t="shared" ref="D642:D700" si="36">F641</f>
        <v>150243417.49563599</v>
      </c>
      <c r="E642" s="789">
        <f>IF(D642&gt;$I$638,$I$638,D642)</f>
        <v>4015414.2760526319</v>
      </c>
      <c r="F642" s="736">
        <f t="shared" ref="F642:F700" si="37">+D642-E642</f>
        <v>146228003.21958336</v>
      </c>
      <c r="G642" s="794">
        <f t="shared" ref="G642:G700" si="38">+$I$96*((D642+F642)/2)+E642</f>
        <v>20793171.453262825</v>
      </c>
      <c r="H642" s="795">
        <f t="shared" ref="H642:H700" si="39">$I$97*((D642+F642)/2)+E642</f>
        <v>20793171.453262825</v>
      </c>
      <c r="I642" s="792">
        <f t="shared" ref="I642:I700" si="40">+H642-G642</f>
        <v>0</v>
      </c>
      <c r="J642" s="792"/>
      <c r="K642" s="812">
        <v>15720783</v>
      </c>
      <c r="L642" s="796"/>
      <c r="M642" s="812">
        <v>15720783</v>
      </c>
      <c r="N642" s="796"/>
      <c r="O642" s="796"/>
    </row>
    <row r="643" spans="3:15">
      <c r="C643" s="788">
        <f>IF(D635="","-",+C642+1)</f>
        <v>2017</v>
      </c>
      <c r="D643" s="736">
        <f t="shared" si="36"/>
        <v>146228003.21958336</v>
      </c>
      <c r="E643" s="789">
        <f t="shared" ref="E643:E700" si="41">IF(D643&gt;$I$638,$I$638,D643)</f>
        <v>4015414.2760526319</v>
      </c>
      <c r="F643" s="736">
        <f t="shared" si="37"/>
        <v>142212588.94353074</v>
      </c>
      <c r="G643" s="794">
        <f t="shared" si="38"/>
        <v>20338694.960877895</v>
      </c>
      <c r="H643" s="795">
        <f t="shared" si="39"/>
        <v>20338694.960877895</v>
      </c>
      <c r="I643" s="792">
        <f t="shared" si="40"/>
        <v>0</v>
      </c>
      <c r="J643" s="792"/>
      <c r="K643" s="812">
        <v>19038423</v>
      </c>
      <c r="L643" s="796"/>
      <c r="M643" s="812">
        <v>19038423</v>
      </c>
      <c r="N643" s="796"/>
      <c r="O643" s="796"/>
    </row>
    <row r="644" spans="3:15">
      <c r="C644" s="1315">
        <f>IF(D635="","-",+C643+1)</f>
        <v>2018</v>
      </c>
      <c r="D644" s="736">
        <f t="shared" si="36"/>
        <v>142212588.94353074</v>
      </c>
      <c r="E644" s="789">
        <f t="shared" si="41"/>
        <v>4015414.2760526319</v>
      </c>
      <c r="F644" s="736">
        <f t="shared" si="37"/>
        <v>138197174.66747811</v>
      </c>
      <c r="G644" s="794">
        <f t="shared" si="38"/>
        <v>19884218.468492974</v>
      </c>
      <c r="H644" s="795">
        <f t="shared" si="39"/>
        <v>19884218.468492974</v>
      </c>
      <c r="I644" s="792">
        <f t="shared" si="40"/>
        <v>0</v>
      </c>
      <c r="J644" s="792"/>
      <c r="K644" s="812">
        <v>16446267</v>
      </c>
      <c r="L644" s="796"/>
      <c r="M644" s="812">
        <v>16446267</v>
      </c>
      <c r="N644" s="796"/>
      <c r="O644" s="796"/>
    </row>
    <row r="645" spans="3:15">
      <c r="C645" s="1315">
        <f>IF(D635="","-",+C644+1)</f>
        <v>2019</v>
      </c>
      <c r="D645" s="736">
        <f t="shared" si="36"/>
        <v>138197174.66747811</v>
      </c>
      <c r="E645" s="789">
        <f t="shared" si="41"/>
        <v>4015414.2760526319</v>
      </c>
      <c r="F645" s="736">
        <f t="shared" si="37"/>
        <v>134181760.39142548</v>
      </c>
      <c r="G645" s="794">
        <f t="shared" si="38"/>
        <v>19429741.976108044</v>
      </c>
      <c r="H645" s="795">
        <f t="shared" si="39"/>
        <v>19429741.976108044</v>
      </c>
      <c r="I645" s="792">
        <f t="shared" si="40"/>
        <v>0</v>
      </c>
      <c r="J645" s="792"/>
      <c r="K645" s="812">
        <v>17622794.501188699</v>
      </c>
      <c r="L645" s="796"/>
      <c r="M645" s="812">
        <v>17622794.501188699</v>
      </c>
      <c r="N645" s="796"/>
      <c r="O645" s="796"/>
    </row>
    <row r="646" spans="3:15">
      <c r="C646" s="1315">
        <f>IF(D634="","-",+C645+1)</f>
        <v>2020</v>
      </c>
      <c r="D646" s="736">
        <f t="shared" si="36"/>
        <v>134181760.39142548</v>
      </c>
      <c r="E646" s="789">
        <f t="shared" si="41"/>
        <v>4015414.2760526319</v>
      </c>
      <c r="F646" s="736">
        <f t="shared" si="37"/>
        <v>130166346.11537284</v>
      </c>
      <c r="G646" s="794">
        <f t="shared" si="38"/>
        <v>18975265.483723119</v>
      </c>
      <c r="H646" s="795">
        <f t="shared" si="39"/>
        <v>18975265.483723119</v>
      </c>
      <c r="I646" s="792">
        <f t="shared" si="40"/>
        <v>0</v>
      </c>
      <c r="J646" s="792"/>
      <c r="K646" s="812">
        <v>17629472.183195844</v>
      </c>
      <c r="L646" s="796"/>
      <c r="M646" s="812">
        <v>17629472.183195844</v>
      </c>
      <c r="N646" s="796"/>
      <c r="O646" s="796"/>
    </row>
    <row r="647" spans="3:15">
      <c r="C647" s="1315">
        <f>IF(D634="","-",+C646+1)</f>
        <v>2021</v>
      </c>
      <c r="D647" s="736">
        <f t="shared" si="36"/>
        <v>130166346.11537284</v>
      </c>
      <c r="E647" s="789">
        <f t="shared" si="41"/>
        <v>4015414.2760526319</v>
      </c>
      <c r="F647" s="736">
        <f t="shared" si="37"/>
        <v>126150931.8393202</v>
      </c>
      <c r="G647" s="794">
        <f t="shared" si="38"/>
        <v>18520788.99133819</v>
      </c>
      <c r="H647" s="795">
        <f t="shared" si="39"/>
        <v>18520788.99133819</v>
      </c>
      <c r="I647" s="792">
        <f t="shared" si="40"/>
        <v>0</v>
      </c>
      <c r="J647" s="792"/>
      <c r="K647" s="812">
        <v>17522701.318641506</v>
      </c>
      <c r="L647" s="796"/>
      <c r="M647" s="812">
        <v>17522701.318641506</v>
      </c>
      <c r="N647" s="796"/>
      <c r="O647" s="796"/>
    </row>
    <row r="648" spans="3:15">
      <c r="C648" s="1315">
        <f>IF(D635="","-",+C647+1)</f>
        <v>2022</v>
      </c>
      <c r="D648" s="736">
        <f t="shared" si="36"/>
        <v>126150931.8393202</v>
      </c>
      <c r="E648" s="789">
        <f t="shared" si="41"/>
        <v>4015414.2760526319</v>
      </c>
      <c r="F648" s="736">
        <f t="shared" si="37"/>
        <v>122135517.56326756</v>
      </c>
      <c r="G648" s="794">
        <f t="shared" si="38"/>
        <v>18066312.498953264</v>
      </c>
      <c r="H648" s="795">
        <f t="shared" si="39"/>
        <v>18066312.498953264</v>
      </c>
      <c r="I648" s="792">
        <f t="shared" si="40"/>
        <v>0</v>
      </c>
      <c r="J648" s="792"/>
      <c r="K648" s="812">
        <v>17473302.364871319</v>
      </c>
      <c r="L648" s="796"/>
      <c r="M648" s="812">
        <v>17473302.364871319</v>
      </c>
      <c r="N648" s="796"/>
      <c r="O648" s="796"/>
    </row>
    <row r="649" spans="3:15">
      <c r="C649" s="1315">
        <f>IF(D635="","-",+C648+1)</f>
        <v>2023</v>
      </c>
      <c r="D649" s="736">
        <f t="shared" si="36"/>
        <v>122135517.56326756</v>
      </c>
      <c r="E649" s="789">
        <f t="shared" si="41"/>
        <v>4015414.2760526319</v>
      </c>
      <c r="F649" s="736">
        <f t="shared" si="37"/>
        <v>118120103.28721492</v>
      </c>
      <c r="G649" s="794">
        <f t="shared" si="38"/>
        <v>17611836.006568339</v>
      </c>
      <c r="H649" s="795">
        <f t="shared" si="39"/>
        <v>17611836.006568339</v>
      </c>
      <c r="I649" s="792">
        <f t="shared" si="40"/>
        <v>0</v>
      </c>
      <c r="J649" s="792"/>
      <c r="K649" s="812">
        <v>17369396.834216058</v>
      </c>
      <c r="L649" s="796"/>
      <c r="M649" s="812">
        <v>17369396.834216058</v>
      </c>
      <c r="N649" s="796"/>
      <c r="O649" s="796"/>
    </row>
    <row r="650" spans="3:15">
      <c r="C650" s="1433">
        <f>IF(D635="","-",+C649+1)</f>
        <v>2024</v>
      </c>
      <c r="D650" s="736">
        <f t="shared" si="36"/>
        <v>118120103.28721492</v>
      </c>
      <c r="E650" s="789">
        <f t="shared" si="41"/>
        <v>4015414.2760526319</v>
      </c>
      <c r="F650" s="736">
        <f t="shared" si="37"/>
        <v>114104689.01116228</v>
      </c>
      <c r="G650" s="794">
        <f t="shared" si="38"/>
        <v>17157359.514183413</v>
      </c>
      <c r="H650" s="795">
        <f t="shared" si="39"/>
        <v>17157359.514183413</v>
      </c>
      <c r="I650" s="792">
        <f t="shared" si="40"/>
        <v>0</v>
      </c>
      <c r="J650" s="792"/>
      <c r="K650" s="812">
        <v>17264926.421378721</v>
      </c>
      <c r="L650" s="796"/>
      <c r="M650" s="812">
        <v>17264926.421378721</v>
      </c>
      <c r="N650" s="796"/>
      <c r="O650" s="796"/>
    </row>
    <row r="651" spans="3:15">
      <c r="C651" s="1311">
        <f>IF(D635="","-",+C650+1)</f>
        <v>2025</v>
      </c>
      <c r="D651" s="736">
        <f t="shared" si="36"/>
        <v>114104689.01116228</v>
      </c>
      <c r="E651" s="789">
        <f t="shared" si="41"/>
        <v>4015414.2760526319</v>
      </c>
      <c r="F651" s="736">
        <f t="shared" si="37"/>
        <v>110089274.73510964</v>
      </c>
      <c r="G651" s="794">
        <f t="shared" si="38"/>
        <v>16702883.021798482</v>
      </c>
      <c r="H651" s="795">
        <f t="shared" si="39"/>
        <v>16702883.021798482</v>
      </c>
      <c r="I651" s="792">
        <f t="shared" si="40"/>
        <v>0</v>
      </c>
      <c r="J651" s="792"/>
      <c r="K651" s="812"/>
      <c r="L651" s="796"/>
      <c r="M651" s="812"/>
      <c r="N651" s="796"/>
      <c r="O651" s="796"/>
    </row>
    <row r="652" spans="3:15">
      <c r="C652" s="788">
        <f>IF(D635="","-",+C651+1)</f>
        <v>2026</v>
      </c>
      <c r="D652" s="736">
        <f t="shared" si="36"/>
        <v>110089274.73510964</v>
      </c>
      <c r="E652" s="789">
        <f t="shared" si="41"/>
        <v>4015414.2760526319</v>
      </c>
      <c r="F652" s="736">
        <f t="shared" si="37"/>
        <v>106073860.459057</v>
      </c>
      <c r="G652" s="794">
        <f t="shared" si="38"/>
        <v>16248406.529413557</v>
      </c>
      <c r="H652" s="795">
        <f t="shared" si="39"/>
        <v>16248406.529413557</v>
      </c>
      <c r="I652" s="792">
        <f t="shared" si="40"/>
        <v>0</v>
      </c>
      <c r="J652" s="792"/>
      <c r="K652" s="812"/>
      <c r="L652" s="796"/>
      <c r="M652" s="812"/>
      <c r="N652" s="796"/>
      <c r="O652" s="796"/>
    </row>
    <row r="653" spans="3:15">
      <c r="C653" s="788">
        <f>IF(D635="","-",+C652+1)</f>
        <v>2027</v>
      </c>
      <c r="D653" s="736">
        <f t="shared" si="36"/>
        <v>106073860.459057</v>
      </c>
      <c r="E653" s="789">
        <f t="shared" si="41"/>
        <v>4015414.2760526319</v>
      </c>
      <c r="F653" s="736">
        <f t="shared" si="37"/>
        <v>102058446.18300436</v>
      </c>
      <c r="G653" s="794">
        <f t="shared" si="38"/>
        <v>15793930.037028629</v>
      </c>
      <c r="H653" s="795">
        <f t="shared" si="39"/>
        <v>15793930.037028629</v>
      </c>
      <c r="I653" s="792">
        <f t="shared" si="40"/>
        <v>0</v>
      </c>
      <c r="J653" s="792"/>
      <c r="K653" s="812"/>
      <c r="L653" s="796"/>
      <c r="M653" s="812"/>
      <c r="N653" s="797"/>
      <c r="O653" s="796"/>
    </row>
    <row r="654" spans="3:15">
      <c r="C654" s="788">
        <f>IF(D635="","-",+C653+1)</f>
        <v>2028</v>
      </c>
      <c r="D654" s="736">
        <f t="shared" si="36"/>
        <v>102058446.18300436</v>
      </c>
      <c r="E654" s="789">
        <f t="shared" si="41"/>
        <v>4015414.2760526319</v>
      </c>
      <c r="F654" s="736">
        <f t="shared" si="37"/>
        <v>98043031.906951725</v>
      </c>
      <c r="G654" s="794">
        <f t="shared" si="38"/>
        <v>15339453.544643704</v>
      </c>
      <c r="H654" s="795">
        <f t="shared" si="39"/>
        <v>15339453.544643704</v>
      </c>
      <c r="I654" s="792">
        <f t="shared" si="40"/>
        <v>0</v>
      </c>
      <c r="J654" s="792"/>
      <c r="K654" s="812"/>
      <c r="L654" s="796"/>
      <c r="M654" s="812"/>
      <c r="N654" s="796"/>
      <c r="O654" s="796"/>
    </row>
    <row r="655" spans="3:15">
      <c r="C655" s="788">
        <f>IF(D635="","-",+C654+1)</f>
        <v>2029</v>
      </c>
      <c r="D655" s="736">
        <f t="shared" si="36"/>
        <v>98043031.906951725</v>
      </c>
      <c r="E655" s="789">
        <f t="shared" si="41"/>
        <v>4015414.2760526319</v>
      </c>
      <c r="F655" s="736">
        <f t="shared" si="37"/>
        <v>94027617.630899087</v>
      </c>
      <c r="G655" s="794">
        <f t="shared" si="38"/>
        <v>14884977.052258775</v>
      </c>
      <c r="H655" s="795">
        <f t="shared" si="39"/>
        <v>14884977.052258775</v>
      </c>
      <c r="I655" s="792">
        <f t="shared" si="40"/>
        <v>0</v>
      </c>
      <c r="J655" s="792"/>
      <c r="K655" s="812"/>
      <c r="L655" s="796"/>
      <c r="M655" s="812"/>
      <c r="N655" s="796"/>
      <c r="O655" s="796"/>
    </row>
    <row r="656" spans="3:15">
      <c r="C656" s="788">
        <f>IF(D635="","-",+C655+1)</f>
        <v>2030</v>
      </c>
      <c r="D656" s="736">
        <f t="shared" si="36"/>
        <v>94027617.630899087</v>
      </c>
      <c r="E656" s="789">
        <f t="shared" si="41"/>
        <v>4015414.2760526319</v>
      </c>
      <c r="F656" s="736">
        <f t="shared" si="37"/>
        <v>90012203.354846448</v>
      </c>
      <c r="G656" s="794">
        <f t="shared" si="38"/>
        <v>14430500.559873849</v>
      </c>
      <c r="H656" s="795">
        <f t="shared" si="39"/>
        <v>14430500.559873849</v>
      </c>
      <c r="I656" s="792">
        <f t="shared" si="40"/>
        <v>0</v>
      </c>
      <c r="J656" s="792"/>
      <c r="K656" s="812"/>
      <c r="L656" s="796"/>
      <c r="M656" s="812"/>
      <c r="N656" s="796"/>
      <c r="O656" s="796"/>
    </row>
    <row r="657" spans="3:15">
      <c r="C657" s="788">
        <f>IF(D635="","-",+C656+1)</f>
        <v>2031</v>
      </c>
      <c r="D657" s="736">
        <f t="shared" si="36"/>
        <v>90012203.354846448</v>
      </c>
      <c r="E657" s="789">
        <f t="shared" si="41"/>
        <v>4015414.2760526319</v>
      </c>
      <c r="F657" s="736">
        <f t="shared" si="37"/>
        <v>85996789.078793809</v>
      </c>
      <c r="G657" s="794">
        <f t="shared" si="38"/>
        <v>13976024.067488922</v>
      </c>
      <c r="H657" s="795">
        <f t="shared" si="39"/>
        <v>13976024.067488922</v>
      </c>
      <c r="I657" s="792">
        <f t="shared" si="40"/>
        <v>0</v>
      </c>
      <c r="J657" s="792"/>
      <c r="K657" s="812"/>
      <c r="L657" s="796"/>
      <c r="M657" s="812"/>
      <c r="N657" s="796"/>
      <c r="O657" s="796"/>
    </row>
    <row r="658" spans="3:15">
      <c r="C658" s="788">
        <f>IF(D635="","-",+C657+1)</f>
        <v>2032</v>
      </c>
      <c r="D658" s="736">
        <f t="shared" si="36"/>
        <v>85996789.078793809</v>
      </c>
      <c r="E658" s="789">
        <f t="shared" si="41"/>
        <v>4015414.2760526319</v>
      </c>
      <c r="F658" s="736">
        <f t="shared" si="37"/>
        <v>81981374.80274117</v>
      </c>
      <c r="G658" s="794">
        <f t="shared" si="38"/>
        <v>13521547.575103996</v>
      </c>
      <c r="H658" s="795">
        <f t="shared" si="39"/>
        <v>13521547.575103996</v>
      </c>
      <c r="I658" s="792">
        <f t="shared" si="40"/>
        <v>0</v>
      </c>
      <c r="J658" s="792"/>
      <c r="K658" s="812"/>
      <c r="L658" s="796"/>
      <c r="M658" s="812"/>
      <c r="N658" s="796"/>
      <c r="O658" s="796"/>
    </row>
    <row r="659" spans="3:15">
      <c r="C659" s="788">
        <f>IF(D635="","-",+C658+1)</f>
        <v>2033</v>
      </c>
      <c r="D659" s="736">
        <f t="shared" si="36"/>
        <v>81981374.80274117</v>
      </c>
      <c r="E659" s="789">
        <f t="shared" si="41"/>
        <v>4015414.2760526319</v>
      </c>
      <c r="F659" s="736">
        <f t="shared" si="37"/>
        <v>77965960.526688531</v>
      </c>
      <c r="G659" s="794">
        <f t="shared" si="38"/>
        <v>13067071.082719067</v>
      </c>
      <c r="H659" s="795">
        <f t="shared" si="39"/>
        <v>13067071.082719067</v>
      </c>
      <c r="I659" s="792">
        <f t="shared" si="40"/>
        <v>0</v>
      </c>
      <c r="J659" s="792"/>
      <c r="K659" s="812"/>
      <c r="L659" s="796"/>
      <c r="M659" s="812"/>
      <c r="N659" s="796"/>
      <c r="O659" s="796"/>
    </row>
    <row r="660" spans="3:15">
      <c r="C660" s="788">
        <f>IF(D635="","-",+C659+1)</f>
        <v>2034</v>
      </c>
      <c r="D660" s="736">
        <f t="shared" si="36"/>
        <v>77965960.526688531</v>
      </c>
      <c r="E660" s="789">
        <f t="shared" si="41"/>
        <v>4015414.2760526319</v>
      </c>
      <c r="F660" s="736">
        <f t="shared" si="37"/>
        <v>73950546.250635892</v>
      </c>
      <c r="G660" s="794">
        <f t="shared" si="38"/>
        <v>12612594.590334142</v>
      </c>
      <c r="H660" s="795">
        <f t="shared" si="39"/>
        <v>12612594.590334142</v>
      </c>
      <c r="I660" s="792">
        <f t="shared" si="40"/>
        <v>0</v>
      </c>
      <c r="J660" s="792"/>
      <c r="K660" s="812"/>
      <c r="L660" s="796"/>
      <c r="M660" s="812"/>
      <c r="N660" s="796"/>
      <c r="O660" s="796"/>
    </row>
    <row r="661" spans="3:15">
      <c r="C661" s="788">
        <f>IF(D635="","-",+C660+1)</f>
        <v>2035</v>
      </c>
      <c r="D661" s="736">
        <f t="shared" si="36"/>
        <v>73950546.250635892</v>
      </c>
      <c r="E661" s="789">
        <f t="shared" si="41"/>
        <v>4015414.2760526319</v>
      </c>
      <c r="F661" s="736">
        <f t="shared" si="37"/>
        <v>69935131.974583253</v>
      </c>
      <c r="G661" s="794">
        <f t="shared" si="38"/>
        <v>12158118.097949214</v>
      </c>
      <c r="H661" s="795">
        <f t="shared" si="39"/>
        <v>12158118.097949214</v>
      </c>
      <c r="I661" s="792">
        <f t="shared" si="40"/>
        <v>0</v>
      </c>
      <c r="J661" s="792"/>
      <c r="K661" s="812"/>
      <c r="L661" s="796"/>
      <c r="M661" s="812"/>
      <c r="N661" s="796"/>
      <c r="O661" s="796"/>
    </row>
    <row r="662" spans="3:15">
      <c r="C662" s="788">
        <f>IF(D635="","-",+C661+1)</f>
        <v>2036</v>
      </c>
      <c r="D662" s="736">
        <f t="shared" si="36"/>
        <v>69935131.974583253</v>
      </c>
      <c r="E662" s="789">
        <f t="shared" si="41"/>
        <v>4015414.2760526319</v>
      </c>
      <c r="F662" s="736">
        <f t="shared" si="37"/>
        <v>65919717.698530622</v>
      </c>
      <c r="G662" s="794">
        <f t="shared" si="38"/>
        <v>11703641.605564289</v>
      </c>
      <c r="H662" s="795">
        <f t="shared" si="39"/>
        <v>11703641.605564289</v>
      </c>
      <c r="I662" s="792">
        <f t="shared" si="40"/>
        <v>0</v>
      </c>
      <c r="J662" s="792"/>
      <c r="K662" s="812"/>
      <c r="L662" s="796"/>
      <c r="M662" s="812"/>
      <c r="N662" s="796"/>
      <c r="O662" s="796"/>
    </row>
    <row r="663" spans="3:15">
      <c r="C663" s="788">
        <f>IF(D635="","-",+C662+1)</f>
        <v>2037</v>
      </c>
      <c r="D663" s="736">
        <f t="shared" si="36"/>
        <v>65919717.698530622</v>
      </c>
      <c r="E663" s="789">
        <f t="shared" si="41"/>
        <v>4015414.2760526319</v>
      </c>
      <c r="F663" s="736">
        <f t="shared" si="37"/>
        <v>61904303.42247799</v>
      </c>
      <c r="G663" s="794">
        <f t="shared" si="38"/>
        <v>11249165.113179361</v>
      </c>
      <c r="H663" s="795">
        <f t="shared" si="39"/>
        <v>11249165.113179361</v>
      </c>
      <c r="I663" s="792">
        <f t="shared" si="40"/>
        <v>0</v>
      </c>
      <c r="J663" s="792"/>
      <c r="K663" s="812"/>
      <c r="L663" s="796"/>
      <c r="M663" s="812"/>
      <c r="N663" s="796"/>
      <c r="O663" s="796"/>
    </row>
    <row r="664" spans="3:15">
      <c r="C664" s="788">
        <f>IF(D635="","-",+C663+1)</f>
        <v>2038</v>
      </c>
      <c r="D664" s="736">
        <f t="shared" si="36"/>
        <v>61904303.42247799</v>
      </c>
      <c r="E664" s="789">
        <f t="shared" si="41"/>
        <v>4015414.2760526319</v>
      </c>
      <c r="F664" s="736">
        <f t="shared" si="37"/>
        <v>57888889.146425359</v>
      </c>
      <c r="G664" s="794">
        <f t="shared" si="38"/>
        <v>10794688.620794438</v>
      </c>
      <c r="H664" s="795">
        <f t="shared" si="39"/>
        <v>10794688.620794438</v>
      </c>
      <c r="I664" s="792">
        <f t="shared" si="40"/>
        <v>0</v>
      </c>
      <c r="J664" s="792"/>
      <c r="K664" s="812"/>
      <c r="L664" s="796"/>
      <c r="M664" s="812"/>
      <c r="N664" s="796"/>
      <c r="O664" s="796"/>
    </row>
    <row r="665" spans="3:15">
      <c r="C665" s="788">
        <f>IF(D635="","-",+C664+1)</f>
        <v>2039</v>
      </c>
      <c r="D665" s="736">
        <f t="shared" si="36"/>
        <v>57888889.146425359</v>
      </c>
      <c r="E665" s="789">
        <f t="shared" si="41"/>
        <v>4015414.2760526319</v>
      </c>
      <c r="F665" s="736">
        <f t="shared" si="37"/>
        <v>53873474.870372728</v>
      </c>
      <c r="G665" s="794">
        <f t="shared" si="38"/>
        <v>10340212.12840951</v>
      </c>
      <c r="H665" s="795">
        <f t="shared" si="39"/>
        <v>10340212.12840951</v>
      </c>
      <c r="I665" s="792">
        <f t="shared" si="40"/>
        <v>0</v>
      </c>
      <c r="J665" s="792"/>
      <c r="K665" s="812"/>
      <c r="L665" s="796"/>
      <c r="M665" s="812"/>
      <c r="N665" s="796"/>
      <c r="O665" s="796"/>
    </row>
    <row r="666" spans="3:15">
      <c r="C666" s="788">
        <f>IF(D635="","-",+C665+1)</f>
        <v>2040</v>
      </c>
      <c r="D666" s="736">
        <f t="shared" si="36"/>
        <v>53873474.870372728</v>
      </c>
      <c r="E666" s="789">
        <f t="shared" si="41"/>
        <v>4015414.2760526319</v>
      </c>
      <c r="F666" s="736">
        <f t="shared" si="37"/>
        <v>49858060.594320096</v>
      </c>
      <c r="G666" s="794">
        <f t="shared" si="38"/>
        <v>9885735.636024585</v>
      </c>
      <c r="H666" s="795">
        <f t="shared" si="39"/>
        <v>9885735.636024585</v>
      </c>
      <c r="I666" s="792">
        <f t="shared" si="40"/>
        <v>0</v>
      </c>
      <c r="J666" s="792"/>
      <c r="K666" s="812"/>
      <c r="L666" s="796"/>
      <c r="M666" s="812"/>
      <c r="N666" s="796"/>
      <c r="O666" s="796"/>
    </row>
    <row r="667" spans="3:15">
      <c r="C667" s="788">
        <f>IF(D635="","-",+C666+1)</f>
        <v>2041</v>
      </c>
      <c r="D667" s="736">
        <f t="shared" si="36"/>
        <v>49858060.594320096</v>
      </c>
      <c r="E667" s="789">
        <f t="shared" si="41"/>
        <v>4015414.2760526319</v>
      </c>
      <c r="F667" s="736">
        <f t="shared" si="37"/>
        <v>45842646.318267465</v>
      </c>
      <c r="G667" s="794">
        <f t="shared" si="38"/>
        <v>9431259.1436396576</v>
      </c>
      <c r="H667" s="795">
        <f t="shared" si="39"/>
        <v>9431259.1436396576</v>
      </c>
      <c r="I667" s="792">
        <f t="shared" si="40"/>
        <v>0</v>
      </c>
      <c r="J667" s="792"/>
      <c r="K667" s="812"/>
      <c r="L667" s="796"/>
      <c r="M667" s="812"/>
      <c r="N667" s="796"/>
      <c r="O667" s="796"/>
    </row>
    <row r="668" spans="3:15">
      <c r="C668" s="788">
        <f>IF(D635="","-",+C667+1)</f>
        <v>2042</v>
      </c>
      <c r="D668" s="736">
        <f t="shared" si="36"/>
        <v>45842646.318267465</v>
      </c>
      <c r="E668" s="789">
        <f t="shared" si="41"/>
        <v>4015414.2760526319</v>
      </c>
      <c r="F668" s="736">
        <f t="shared" si="37"/>
        <v>41827232.042214833</v>
      </c>
      <c r="G668" s="794">
        <f t="shared" si="38"/>
        <v>8976782.6512547322</v>
      </c>
      <c r="H668" s="795">
        <f t="shared" si="39"/>
        <v>8976782.6512547322</v>
      </c>
      <c r="I668" s="792">
        <f t="shared" si="40"/>
        <v>0</v>
      </c>
      <c r="J668" s="792"/>
      <c r="K668" s="812"/>
      <c r="L668" s="796"/>
      <c r="M668" s="812"/>
      <c r="N668" s="796"/>
      <c r="O668" s="796"/>
    </row>
    <row r="669" spans="3:15">
      <c r="C669" s="788">
        <f>IF(D635="","-",+C668+1)</f>
        <v>2043</v>
      </c>
      <c r="D669" s="736">
        <f t="shared" si="36"/>
        <v>41827232.042214833</v>
      </c>
      <c r="E669" s="789">
        <f t="shared" si="41"/>
        <v>4015414.2760526319</v>
      </c>
      <c r="F669" s="736">
        <f t="shared" si="37"/>
        <v>37811817.766162202</v>
      </c>
      <c r="G669" s="790">
        <f t="shared" si="38"/>
        <v>8522306.1588698067</v>
      </c>
      <c r="H669" s="795">
        <f t="shared" si="39"/>
        <v>8522306.1588698067</v>
      </c>
      <c r="I669" s="792">
        <f t="shared" si="40"/>
        <v>0</v>
      </c>
      <c r="J669" s="792"/>
      <c r="K669" s="812"/>
      <c r="L669" s="796"/>
      <c r="M669" s="812"/>
      <c r="N669" s="796"/>
      <c r="O669" s="796"/>
    </row>
    <row r="670" spans="3:15">
      <c r="C670" s="788">
        <f>IF(D635="","-",+C669+1)</f>
        <v>2044</v>
      </c>
      <c r="D670" s="736">
        <f t="shared" si="36"/>
        <v>37811817.766162202</v>
      </c>
      <c r="E670" s="789">
        <f t="shared" si="41"/>
        <v>4015414.2760526319</v>
      </c>
      <c r="F670" s="736">
        <f t="shared" si="37"/>
        <v>33796403.49010957</v>
      </c>
      <c r="G670" s="794">
        <f t="shared" si="38"/>
        <v>8067829.6664848812</v>
      </c>
      <c r="H670" s="795">
        <f t="shared" si="39"/>
        <v>8067829.6664848812</v>
      </c>
      <c r="I670" s="792">
        <f t="shared" si="40"/>
        <v>0</v>
      </c>
      <c r="J670" s="792"/>
      <c r="K670" s="812"/>
      <c r="L670" s="796"/>
      <c r="M670" s="812"/>
      <c r="N670" s="796"/>
      <c r="O670" s="796"/>
    </row>
    <row r="671" spans="3:15">
      <c r="C671" s="788">
        <f>IF(D635="","-",+C670+1)</f>
        <v>2045</v>
      </c>
      <c r="D671" s="736">
        <f t="shared" si="36"/>
        <v>33796403.49010957</v>
      </c>
      <c r="E671" s="789">
        <f t="shared" si="41"/>
        <v>4015414.2760526319</v>
      </c>
      <c r="F671" s="736">
        <f t="shared" si="37"/>
        <v>29780989.214056939</v>
      </c>
      <c r="G671" s="794">
        <f t="shared" si="38"/>
        <v>7613353.1740999538</v>
      </c>
      <c r="H671" s="795">
        <f t="shared" si="39"/>
        <v>7613353.1740999538</v>
      </c>
      <c r="I671" s="792">
        <f t="shared" si="40"/>
        <v>0</v>
      </c>
      <c r="J671" s="792"/>
      <c r="K671" s="812"/>
      <c r="L671" s="796"/>
      <c r="M671" s="812"/>
      <c r="N671" s="796"/>
      <c r="O671" s="796"/>
    </row>
    <row r="672" spans="3:15">
      <c r="C672" s="788">
        <f>IF(D635="","-",+C671+1)</f>
        <v>2046</v>
      </c>
      <c r="D672" s="736">
        <f t="shared" si="36"/>
        <v>29780989.214056939</v>
      </c>
      <c r="E672" s="789">
        <f t="shared" si="41"/>
        <v>4015414.2760526319</v>
      </c>
      <c r="F672" s="736">
        <f t="shared" si="37"/>
        <v>25765574.938004307</v>
      </c>
      <c r="G672" s="794">
        <f t="shared" si="38"/>
        <v>7158876.6817150284</v>
      </c>
      <c r="H672" s="795">
        <f t="shared" si="39"/>
        <v>7158876.6817150284</v>
      </c>
      <c r="I672" s="792">
        <f t="shared" si="40"/>
        <v>0</v>
      </c>
      <c r="J672" s="792"/>
      <c r="K672" s="812"/>
      <c r="L672" s="796"/>
      <c r="M672" s="812"/>
      <c r="N672" s="796"/>
      <c r="O672" s="796"/>
    </row>
    <row r="673" spans="3:15">
      <c r="C673" s="788">
        <f>IF(D635="","-",+C672+1)</f>
        <v>2047</v>
      </c>
      <c r="D673" s="736">
        <f t="shared" si="36"/>
        <v>25765574.938004307</v>
      </c>
      <c r="E673" s="789">
        <f t="shared" si="41"/>
        <v>4015414.2760526319</v>
      </c>
      <c r="F673" s="736">
        <f t="shared" si="37"/>
        <v>21750160.661951676</v>
      </c>
      <c r="G673" s="794">
        <f t="shared" si="38"/>
        <v>6704400.1893301029</v>
      </c>
      <c r="H673" s="795">
        <f t="shared" si="39"/>
        <v>6704400.1893301029</v>
      </c>
      <c r="I673" s="792">
        <f t="shared" si="40"/>
        <v>0</v>
      </c>
      <c r="J673" s="792"/>
      <c r="K673" s="812"/>
      <c r="L673" s="796"/>
      <c r="M673" s="812"/>
      <c r="N673" s="796"/>
      <c r="O673" s="796"/>
    </row>
    <row r="674" spans="3:15">
      <c r="C674" s="788">
        <f>IF(D635="","-",+C673+1)</f>
        <v>2048</v>
      </c>
      <c r="D674" s="736">
        <f t="shared" si="36"/>
        <v>21750160.661951676</v>
      </c>
      <c r="E674" s="789">
        <f t="shared" si="41"/>
        <v>4015414.2760526319</v>
      </c>
      <c r="F674" s="736">
        <f t="shared" si="37"/>
        <v>17734746.385899045</v>
      </c>
      <c r="G674" s="794">
        <f t="shared" si="38"/>
        <v>6249923.6969451755</v>
      </c>
      <c r="H674" s="795">
        <f t="shared" si="39"/>
        <v>6249923.6969451755</v>
      </c>
      <c r="I674" s="792">
        <f t="shared" si="40"/>
        <v>0</v>
      </c>
      <c r="J674" s="792"/>
      <c r="K674" s="812"/>
      <c r="L674" s="796"/>
      <c r="M674" s="812"/>
      <c r="N674" s="796"/>
      <c r="O674" s="796"/>
    </row>
    <row r="675" spans="3:15">
      <c r="C675" s="788">
        <f>IF(D635="","-",+C674+1)</f>
        <v>2049</v>
      </c>
      <c r="D675" s="736">
        <f t="shared" si="36"/>
        <v>17734746.385899045</v>
      </c>
      <c r="E675" s="789">
        <f t="shared" si="41"/>
        <v>4015414.2760526319</v>
      </c>
      <c r="F675" s="736">
        <f t="shared" si="37"/>
        <v>13719332.109846413</v>
      </c>
      <c r="G675" s="794">
        <f t="shared" si="38"/>
        <v>5795447.20456025</v>
      </c>
      <c r="H675" s="795">
        <f t="shared" si="39"/>
        <v>5795447.20456025</v>
      </c>
      <c r="I675" s="792">
        <f t="shared" si="40"/>
        <v>0</v>
      </c>
      <c r="J675" s="792"/>
      <c r="K675" s="812"/>
      <c r="L675" s="796"/>
      <c r="M675" s="812"/>
      <c r="N675" s="796"/>
      <c r="O675" s="796"/>
    </row>
    <row r="676" spans="3:15">
      <c r="C676" s="788">
        <f>IF(D635="","-",+C675+1)</f>
        <v>2050</v>
      </c>
      <c r="D676" s="736">
        <f t="shared" si="36"/>
        <v>13719332.109846413</v>
      </c>
      <c r="E676" s="789">
        <f t="shared" si="41"/>
        <v>4015414.2760526319</v>
      </c>
      <c r="F676" s="736">
        <f t="shared" si="37"/>
        <v>9703917.8337937817</v>
      </c>
      <c r="G676" s="794">
        <f t="shared" si="38"/>
        <v>5340970.7121753246</v>
      </c>
      <c r="H676" s="795">
        <f t="shared" si="39"/>
        <v>5340970.7121753246</v>
      </c>
      <c r="I676" s="792">
        <f t="shared" si="40"/>
        <v>0</v>
      </c>
      <c r="J676" s="792"/>
      <c r="K676" s="812"/>
      <c r="L676" s="796"/>
      <c r="M676" s="812"/>
      <c r="N676" s="796"/>
      <c r="O676" s="796"/>
    </row>
    <row r="677" spans="3:15">
      <c r="C677" s="788">
        <f>IF(D635="","-",+C676+1)</f>
        <v>2051</v>
      </c>
      <c r="D677" s="736">
        <f t="shared" si="36"/>
        <v>9703917.8337937817</v>
      </c>
      <c r="E677" s="789">
        <f t="shared" si="41"/>
        <v>4015414.2760526319</v>
      </c>
      <c r="F677" s="736">
        <f t="shared" si="37"/>
        <v>5688503.5577411503</v>
      </c>
      <c r="G677" s="794">
        <f t="shared" si="38"/>
        <v>4886494.2197903981</v>
      </c>
      <c r="H677" s="795">
        <f t="shared" si="39"/>
        <v>4886494.2197903981</v>
      </c>
      <c r="I677" s="792">
        <f t="shared" si="40"/>
        <v>0</v>
      </c>
      <c r="J677" s="792"/>
      <c r="K677" s="812"/>
      <c r="L677" s="796"/>
      <c r="M677" s="812"/>
      <c r="N677" s="796"/>
      <c r="O677" s="796"/>
    </row>
    <row r="678" spans="3:15">
      <c r="C678" s="788">
        <f>IF(D635="","-",+C677+1)</f>
        <v>2052</v>
      </c>
      <c r="D678" s="736">
        <f t="shared" si="36"/>
        <v>5688503.5577411503</v>
      </c>
      <c r="E678" s="789">
        <f t="shared" si="41"/>
        <v>4015414.2760526319</v>
      </c>
      <c r="F678" s="736">
        <f t="shared" si="37"/>
        <v>1673089.2816885184</v>
      </c>
      <c r="G678" s="794">
        <f t="shared" si="38"/>
        <v>4432017.7274054717</v>
      </c>
      <c r="H678" s="795">
        <f t="shared" si="39"/>
        <v>4432017.7274054717</v>
      </c>
      <c r="I678" s="792">
        <f t="shared" si="40"/>
        <v>0</v>
      </c>
      <c r="J678" s="792"/>
      <c r="K678" s="812"/>
      <c r="L678" s="796"/>
      <c r="M678" s="812"/>
      <c r="N678" s="796"/>
      <c r="O678" s="796"/>
    </row>
    <row r="679" spans="3:15">
      <c r="C679" s="788">
        <f>IF(D635="","-",+C678+1)</f>
        <v>2053</v>
      </c>
      <c r="D679" s="736">
        <f t="shared" si="36"/>
        <v>1673089.2816885184</v>
      </c>
      <c r="E679" s="789">
        <f t="shared" si="41"/>
        <v>1673089.2816885184</v>
      </c>
      <c r="F679" s="736">
        <f t="shared" si="37"/>
        <v>0</v>
      </c>
      <c r="G679" s="794">
        <f t="shared" si="38"/>
        <v>1767771.8842687069</v>
      </c>
      <c r="H679" s="795">
        <f t="shared" si="39"/>
        <v>1767771.8842687069</v>
      </c>
      <c r="I679" s="792">
        <f t="shared" si="40"/>
        <v>0</v>
      </c>
      <c r="J679" s="792"/>
      <c r="K679" s="812"/>
      <c r="L679" s="796"/>
      <c r="M679" s="812"/>
      <c r="N679" s="796"/>
      <c r="O679" s="796"/>
    </row>
    <row r="680" spans="3:15">
      <c r="C680" s="788">
        <f>IF(D635="","-",+C679+1)</f>
        <v>2054</v>
      </c>
      <c r="D680" s="736">
        <f t="shared" si="36"/>
        <v>0</v>
      </c>
      <c r="E680" s="789">
        <f t="shared" si="41"/>
        <v>0</v>
      </c>
      <c r="F680" s="736">
        <f t="shared" si="37"/>
        <v>0</v>
      </c>
      <c r="G680" s="794">
        <f t="shared" si="38"/>
        <v>0</v>
      </c>
      <c r="H680" s="795">
        <f t="shared" si="39"/>
        <v>0</v>
      </c>
      <c r="I680" s="792">
        <f t="shared" si="40"/>
        <v>0</v>
      </c>
      <c r="J680" s="792"/>
      <c r="K680" s="812"/>
      <c r="L680" s="796"/>
      <c r="M680" s="812"/>
      <c r="N680" s="796"/>
      <c r="O680" s="796"/>
    </row>
    <row r="681" spans="3:15">
      <c r="C681" s="788">
        <f>IF(D635="","-",+C680+1)</f>
        <v>2055</v>
      </c>
      <c r="D681" s="736">
        <f t="shared" si="36"/>
        <v>0</v>
      </c>
      <c r="E681" s="789">
        <f t="shared" si="41"/>
        <v>0</v>
      </c>
      <c r="F681" s="736">
        <f t="shared" si="37"/>
        <v>0</v>
      </c>
      <c r="G681" s="794">
        <f t="shared" si="38"/>
        <v>0</v>
      </c>
      <c r="H681" s="795">
        <f t="shared" si="39"/>
        <v>0</v>
      </c>
      <c r="I681" s="792">
        <f t="shared" si="40"/>
        <v>0</v>
      </c>
      <c r="J681" s="792"/>
      <c r="K681" s="812"/>
      <c r="L681" s="796"/>
      <c r="M681" s="812"/>
      <c r="N681" s="796"/>
      <c r="O681" s="796"/>
    </row>
    <row r="682" spans="3:15">
      <c r="C682" s="788">
        <f>IF(D635="","-",+C681+1)</f>
        <v>2056</v>
      </c>
      <c r="D682" s="736">
        <f t="shared" si="36"/>
        <v>0</v>
      </c>
      <c r="E682" s="789">
        <f t="shared" si="41"/>
        <v>0</v>
      </c>
      <c r="F682" s="736">
        <f t="shared" si="37"/>
        <v>0</v>
      </c>
      <c r="G682" s="794">
        <f t="shared" si="38"/>
        <v>0</v>
      </c>
      <c r="H682" s="795">
        <f t="shared" si="39"/>
        <v>0</v>
      </c>
      <c r="I682" s="792">
        <f t="shared" si="40"/>
        <v>0</v>
      </c>
      <c r="J682" s="792"/>
      <c r="K682" s="812"/>
      <c r="L682" s="796"/>
      <c r="M682" s="812"/>
      <c r="N682" s="796"/>
      <c r="O682" s="796"/>
    </row>
    <row r="683" spans="3:15">
      <c r="C683" s="788">
        <f>IF(D635="","-",+C682+1)</f>
        <v>2057</v>
      </c>
      <c r="D683" s="736">
        <f t="shared" si="36"/>
        <v>0</v>
      </c>
      <c r="E683" s="789">
        <f t="shared" si="41"/>
        <v>0</v>
      </c>
      <c r="F683" s="736">
        <f t="shared" si="37"/>
        <v>0</v>
      </c>
      <c r="G683" s="794">
        <f t="shared" si="38"/>
        <v>0</v>
      </c>
      <c r="H683" s="795">
        <f t="shared" si="39"/>
        <v>0</v>
      </c>
      <c r="I683" s="792">
        <f t="shared" si="40"/>
        <v>0</v>
      </c>
      <c r="J683" s="792"/>
      <c r="K683" s="812"/>
      <c r="L683" s="796"/>
      <c r="M683" s="812"/>
      <c r="N683" s="796"/>
      <c r="O683" s="796"/>
    </row>
    <row r="684" spans="3:15">
      <c r="C684" s="788">
        <f>IF(D635="","-",+C683+1)</f>
        <v>2058</v>
      </c>
      <c r="D684" s="736">
        <f t="shared" si="36"/>
        <v>0</v>
      </c>
      <c r="E684" s="789">
        <f t="shared" si="41"/>
        <v>0</v>
      </c>
      <c r="F684" s="736">
        <f t="shared" si="37"/>
        <v>0</v>
      </c>
      <c r="G684" s="794">
        <f t="shared" si="38"/>
        <v>0</v>
      </c>
      <c r="H684" s="795">
        <f t="shared" si="39"/>
        <v>0</v>
      </c>
      <c r="I684" s="792">
        <f t="shared" si="40"/>
        <v>0</v>
      </c>
      <c r="J684" s="792"/>
      <c r="K684" s="812"/>
      <c r="L684" s="796"/>
      <c r="M684" s="812"/>
      <c r="N684" s="796"/>
      <c r="O684" s="796"/>
    </row>
    <row r="685" spans="3:15">
      <c r="C685" s="788">
        <f>IF(D635="","-",+C684+1)</f>
        <v>2059</v>
      </c>
      <c r="D685" s="736">
        <f t="shared" si="36"/>
        <v>0</v>
      </c>
      <c r="E685" s="789">
        <f t="shared" si="41"/>
        <v>0</v>
      </c>
      <c r="F685" s="736">
        <f t="shared" si="37"/>
        <v>0</v>
      </c>
      <c r="G685" s="794">
        <f t="shared" si="38"/>
        <v>0</v>
      </c>
      <c r="H685" s="795">
        <f t="shared" si="39"/>
        <v>0</v>
      </c>
      <c r="I685" s="792">
        <f t="shared" si="40"/>
        <v>0</v>
      </c>
      <c r="J685" s="792"/>
      <c r="K685" s="812"/>
      <c r="L685" s="796"/>
      <c r="M685" s="812"/>
      <c r="N685" s="796"/>
      <c r="O685" s="796"/>
    </row>
    <row r="686" spans="3:15">
      <c r="C686" s="788">
        <f>IF(D635="","-",+C685+1)</f>
        <v>2060</v>
      </c>
      <c r="D686" s="736">
        <f t="shared" si="36"/>
        <v>0</v>
      </c>
      <c r="E686" s="789">
        <f t="shared" si="41"/>
        <v>0</v>
      </c>
      <c r="F686" s="736">
        <f t="shared" si="37"/>
        <v>0</v>
      </c>
      <c r="G686" s="794">
        <f t="shared" si="38"/>
        <v>0</v>
      </c>
      <c r="H686" s="795">
        <f t="shared" si="39"/>
        <v>0</v>
      </c>
      <c r="I686" s="792">
        <f t="shared" si="40"/>
        <v>0</v>
      </c>
      <c r="J686" s="792"/>
      <c r="K686" s="812"/>
      <c r="L686" s="796"/>
      <c r="M686" s="812"/>
      <c r="N686" s="796"/>
      <c r="O686" s="796"/>
    </row>
    <row r="687" spans="3:15">
      <c r="C687" s="788">
        <f>IF(D635="","-",+C686+1)</f>
        <v>2061</v>
      </c>
      <c r="D687" s="736">
        <f t="shared" si="36"/>
        <v>0</v>
      </c>
      <c r="E687" s="789">
        <f t="shared" si="41"/>
        <v>0</v>
      </c>
      <c r="F687" s="736">
        <f t="shared" si="37"/>
        <v>0</v>
      </c>
      <c r="G687" s="794">
        <f t="shared" si="38"/>
        <v>0</v>
      </c>
      <c r="H687" s="795">
        <f t="shared" si="39"/>
        <v>0</v>
      </c>
      <c r="I687" s="792">
        <f t="shared" si="40"/>
        <v>0</v>
      </c>
      <c r="J687" s="792"/>
      <c r="K687" s="812"/>
      <c r="L687" s="796"/>
      <c r="M687" s="812"/>
      <c r="N687" s="796"/>
      <c r="O687" s="796"/>
    </row>
    <row r="688" spans="3:15">
      <c r="C688" s="788">
        <f>IF(D635="","-",+C687+1)</f>
        <v>2062</v>
      </c>
      <c r="D688" s="736">
        <f t="shared" si="36"/>
        <v>0</v>
      </c>
      <c r="E688" s="789">
        <f t="shared" si="41"/>
        <v>0</v>
      </c>
      <c r="F688" s="736">
        <f t="shared" si="37"/>
        <v>0</v>
      </c>
      <c r="G688" s="794">
        <f t="shared" si="38"/>
        <v>0</v>
      </c>
      <c r="H688" s="795">
        <f t="shared" si="39"/>
        <v>0</v>
      </c>
      <c r="I688" s="792">
        <f t="shared" si="40"/>
        <v>0</v>
      </c>
      <c r="J688" s="792"/>
      <c r="K688" s="812"/>
      <c r="L688" s="796"/>
      <c r="M688" s="812"/>
      <c r="N688" s="796"/>
      <c r="O688" s="796"/>
    </row>
    <row r="689" spans="3:15">
      <c r="C689" s="788">
        <f>IF(D635="","-",+C688+1)</f>
        <v>2063</v>
      </c>
      <c r="D689" s="736">
        <f t="shared" si="36"/>
        <v>0</v>
      </c>
      <c r="E689" s="789">
        <f t="shared" si="41"/>
        <v>0</v>
      </c>
      <c r="F689" s="736">
        <f t="shared" si="37"/>
        <v>0</v>
      </c>
      <c r="G689" s="794">
        <f t="shared" si="38"/>
        <v>0</v>
      </c>
      <c r="H689" s="795">
        <f t="shared" si="39"/>
        <v>0</v>
      </c>
      <c r="I689" s="792">
        <f t="shared" si="40"/>
        <v>0</v>
      </c>
      <c r="J689" s="792"/>
      <c r="K689" s="812"/>
      <c r="L689" s="796"/>
      <c r="M689" s="812"/>
      <c r="N689" s="796"/>
      <c r="O689" s="796"/>
    </row>
    <row r="690" spans="3:15">
      <c r="C690" s="788">
        <f>IF(D635="","-",+C689+1)</f>
        <v>2064</v>
      </c>
      <c r="D690" s="736">
        <f t="shared" si="36"/>
        <v>0</v>
      </c>
      <c r="E690" s="789">
        <f t="shared" si="41"/>
        <v>0</v>
      </c>
      <c r="F690" s="736">
        <f t="shared" si="37"/>
        <v>0</v>
      </c>
      <c r="G690" s="794">
        <f t="shared" si="38"/>
        <v>0</v>
      </c>
      <c r="H690" s="795">
        <f t="shared" si="39"/>
        <v>0</v>
      </c>
      <c r="I690" s="792">
        <f t="shared" si="40"/>
        <v>0</v>
      </c>
      <c r="J690" s="792"/>
      <c r="K690" s="812"/>
      <c r="L690" s="796"/>
      <c r="M690" s="812"/>
      <c r="N690" s="796"/>
      <c r="O690" s="796"/>
    </row>
    <row r="691" spans="3:15">
      <c r="C691" s="788">
        <f>IF(D635="","-",+C690+1)</f>
        <v>2065</v>
      </c>
      <c r="D691" s="736">
        <f t="shared" si="36"/>
        <v>0</v>
      </c>
      <c r="E691" s="789">
        <f t="shared" si="41"/>
        <v>0</v>
      </c>
      <c r="F691" s="736">
        <f t="shared" si="37"/>
        <v>0</v>
      </c>
      <c r="G691" s="794">
        <f t="shared" si="38"/>
        <v>0</v>
      </c>
      <c r="H691" s="795">
        <f t="shared" si="39"/>
        <v>0</v>
      </c>
      <c r="I691" s="792">
        <f t="shared" si="40"/>
        <v>0</v>
      </c>
      <c r="J691" s="792"/>
      <c r="K691" s="812"/>
      <c r="L691" s="796"/>
      <c r="M691" s="812"/>
      <c r="N691" s="796"/>
      <c r="O691" s="796"/>
    </row>
    <row r="692" spans="3:15">
      <c r="C692" s="788">
        <f>IF(D635="","-",+C691+1)</f>
        <v>2066</v>
      </c>
      <c r="D692" s="736">
        <f t="shared" si="36"/>
        <v>0</v>
      </c>
      <c r="E692" s="789">
        <f t="shared" si="41"/>
        <v>0</v>
      </c>
      <c r="F692" s="736">
        <f t="shared" si="37"/>
        <v>0</v>
      </c>
      <c r="G692" s="794">
        <f t="shared" si="38"/>
        <v>0</v>
      </c>
      <c r="H692" s="795">
        <f t="shared" si="39"/>
        <v>0</v>
      </c>
      <c r="I692" s="792">
        <f t="shared" si="40"/>
        <v>0</v>
      </c>
      <c r="J692" s="792"/>
      <c r="K692" s="812"/>
      <c r="L692" s="796"/>
      <c r="M692" s="812"/>
      <c r="N692" s="796"/>
      <c r="O692" s="796"/>
    </row>
    <row r="693" spans="3:15">
      <c r="C693" s="788">
        <f>IF(D635="","-",+C692+1)</f>
        <v>2067</v>
      </c>
      <c r="D693" s="736">
        <f t="shared" si="36"/>
        <v>0</v>
      </c>
      <c r="E693" s="789">
        <f t="shared" si="41"/>
        <v>0</v>
      </c>
      <c r="F693" s="736">
        <f t="shared" si="37"/>
        <v>0</v>
      </c>
      <c r="G693" s="794">
        <f t="shared" si="38"/>
        <v>0</v>
      </c>
      <c r="H693" s="795">
        <f t="shared" si="39"/>
        <v>0</v>
      </c>
      <c r="I693" s="792">
        <f t="shared" si="40"/>
        <v>0</v>
      </c>
      <c r="J693" s="792"/>
      <c r="K693" s="812"/>
      <c r="L693" s="796"/>
      <c r="M693" s="812"/>
      <c r="N693" s="796"/>
      <c r="O693" s="796"/>
    </row>
    <row r="694" spans="3:15">
      <c r="C694" s="788">
        <f>IF(D635="","-",+C693+1)</f>
        <v>2068</v>
      </c>
      <c r="D694" s="736">
        <f t="shared" si="36"/>
        <v>0</v>
      </c>
      <c r="E694" s="789">
        <f t="shared" si="41"/>
        <v>0</v>
      </c>
      <c r="F694" s="736">
        <f t="shared" si="37"/>
        <v>0</v>
      </c>
      <c r="G694" s="794">
        <f t="shared" si="38"/>
        <v>0</v>
      </c>
      <c r="H694" s="795">
        <f t="shared" si="39"/>
        <v>0</v>
      </c>
      <c r="I694" s="792">
        <f t="shared" si="40"/>
        <v>0</v>
      </c>
      <c r="J694" s="792"/>
      <c r="K694" s="812"/>
      <c r="L694" s="796"/>
      <c r="M694" s="812"/>
      <c r="N694" s="796"/>
      <c r="O694" s="796"/>
    </row>
    <row r="695" spans="3:15">
      <c r="C695" s="788">
        <f>IF(D635="","-",+C694+1)</f>
        <v>2069</v>
      </c>
      <c r="D695" s="736">
        <f t="shared" si="36"/>
        <v>0</v>
      </c>
      <c r="E695" s="789">
        <f t="shared" si="41"/>
        <v>0</v>
      </c>
      <c r="F695" s="736">
        <f t="shared" si="37"/>
        <v>0</v>
      </c>
      <c r="G695" s="794">
        <f t="shared" si="38"/>
        <v>0</v>
      </c>
      <c r="H695" s="795">
        <f t="shared" si="39"/>
        <v>0</v>
      </c>
      <c r="I695" s="792">
        <f t="shared" si="40"/>
        <v>0</v>
      </c>
      <c r="J695" s="792"/>
      <c r="K695" s="812"/>
      <c r="L695" s="796"/>
      <c r="M695" s="812"/>
      <c r="N695" s="796"/>
      <c r="O695" s="796"/>
    </row>
    <row r="696" spans="3:15">
      <c r="C696" s="788">
        <f>IF(D635="","-",+C695+1)</f>
        <v>2070</v>
      </c>
      <c r="D696" s="736">
        <f t="shared" si="36"/>
        <v>0</v>
      </c>
      <c r="E696" s="789">
        <f t="shared" si="41"/>
        <v>0</v>
      </c>
      <c r="F696" s="736">
        <f t="shared" si="37"/>
        <v>0</v>
      </c>
      <c r="G696" s="794">
        <f t="shared" si="38"/>
        <v>0</v>
      </c>
      <c r="H696" s="795">
        <f t="shared" si="39"/>
        <v>0</v>
      </c>
      <c r="I696" s="792">
        <f t="shared" si="40"/>
        <v>0</v>
      </c>
      <c r="J696" s="792"/>
      <c r="K696" s="812"/>
      <c r="L696" s="796"/>
      <c r="M696" s="812"/>
      <c r="N696" s="796"/>
      <c r="O696" s="796"/>
    </row>
    <row r="697" spans="3:15">
      <c r="C697" s="788">
        <f>IF(D635="","-",+C696+1)</f>
        <v>2071</v>
      </c>
      <c r="D697" s="736">
        <f t="shared" si="36"/>
        <v>0</v>
      </c>
      <c r="E697" s="789">
        <f t="shared" si="41"/>
        <v>0</v>
      </c>
      <c r="F697" s="736">
        <f t="shared" si="37"/>
        <v>0</v>
      </c>
      <c r="G697" s="794">
        <f t="shared" si="38"/>
        <v>0</v>
      </c>
      <c r="H697" s="795">
        <f t="shared" si="39"/>
        <v>0</v>
      </c>
      <c r="I697" s="792">
        <f t="shared" si="40"/>
        <v>0</v>
      </c>
      <c r="J697" s="792"/>
      <c r="K697" s="812"/>
      <c r="L697" s="796"/>
      <c r="M697" s="812"/>
      <c r="N697" s="796"/>
      <c r="O697" s="796"/>
    </row>
    <row r="698" spans="3:15">
      <c r="C698" s="788">
        <f>IF(D635="","-",+C697+1)</f>
        <v>2072</v>
      </c>
      <c r="D698" s="736">
        <f t="shared" si="36"/>
        <v>0</v>
      </c>
      <c r="E698" s="789">
        <f t="shared" si="41"/>
        <v>0</v>
      </c>
      <c r="F698" s="736">
        <f t="shared" si="37"/>
        <v>0</v>
      </c>
      <c r="G698" s="794">
        <f t="shared" si="38"/>
        <v>0</v>
      </c>
      <c r="H698" s="795">
        <f t="shared" si="39"/>
        <v>0</v>
      </c>
      <c r="I698" s="792">
        <f t="shared" si="40"/>
        <v>0</v>
      </c>
      <c r="J698" s="792"/>
      <c r="K698" s="812"/>
      <c r="L698" s="796"/>
      <c r="M698" s="812"/>
      <c r="N698" s="796"/>
      <c r="O698" s="796"/>
    </row>
    <row r="699" spans="3:15">
      <c r="C699" s="788">
        <f>IF(D635="","-",+C698+1)</f>
        <v>2073</v>
      </c>
      <c r="D699" s="736">
        <f t="shared" si="36"/>
        <v>0</v>
      </c>
      <c r="E699" s="789">
        <f t="shared" si="41"/>
        <v>0</v>
      </c>
      <c r="F699" s="736">
        <f t="shared" si="37"/>
        <v>0</v>
      </c>
      <c r="G699" s="794">
        <f t="shared" si="38"/>
        <v>0</v>
      </c>
      <c r="H699" s="795">
        <f t="shared" si="39"/>
        <v>0</v>
      </c>
      <c r="I699" s="792">
        <f t="shared" si="40"/>
        <v>0</v>
      </c>
      <c r="J699" s="792"/>
      <c r="K699" s="812"/>
      <c r="L699" s="796"/>
      <c r="M699" s="812"/>
      <c r="N699" s="796"/>
      <c r="O699" s="796"/>
    </row>
    <row r="700" spans="3:15" ht="13.5" thickBot="1">
      <c r="C700" s="798">
        <f>IF(D635="","-",+C699+1)</f>
        <v>2074</v>
      </c>
      <c r="D700" s="799">
        <f t="shared" si="36"/>
        <v>0</v>
      </c>
      <c r="E700" s="800">
        <f t="shared" si="41"/>
        <v>0</v>
      </c>
      <c r="F700" s="799">
        <f t="shared" si="37"/>
        <v>0</v>
      </c>
      <c r="G700" s="801">
        <f t="shared" si="38"/>
        <v>0</v>
      </c>
      <c r="H700" s="801">
        <f t="shared" si="39"/>
        <v>0</v>
      </c>
      <c r="I700" s="802">
        <f t="shared" si="40"/>
        <v>0</v>
      </c>
      <c r="J700" s="792"/>
      <c r="K700" s="813"/>
      <c r="L700" s="803"/>
      <c r="M700" s="813"/>
      <c r="N700" s="803"/>
      <c r="O700" s="803"/>
    </row>
    <row r="701" spans="3:15">
      <c r="C701" s="736" t="s">
        <v>83</v>
      </c>
      <c r="D701" s="730"/>
      <c r="E701" s="730">
        <f>SUM(E641:E700)</f>
        <v>152585742.49000001</v>
      </c>
      <c r="F701" s="730"/>
      <c r="G701" s="730">
        <f>SUM(G641:G700)</f>
        <v>487913647.78801107</v>
      </c>
      <c r="H701" s="730">
        <f>SUM(H641:H700)</f>
        <v>487913647.78801107</v>
      </c>
      <c r="I701" s="730">
        <f>SUM(I641:I700)</f>
        <v>0</v>
      </c>
      <c r="J701" s="730"/>
      <c r="K701" s="730"/>
      <c r="L701" s="730"/>
      <c r="M701" s="730"/>
      <c r="N701" s="730"/>
      <c r="O701" s="314"/>
    </row>
    <row r="702" spans="3:15">
      <c r="D702" s="538"/>
      <c r="E702" s="314"/>
      <c r="F702" s="314"/>
      <c r="G702" s="314"/>
      <c r="H702" s="708"/>
      <c r="I702" s="708"/>
      <c r="J702" s="730"/>
      <c r="K702" s="708"/>
      <c r="L702" s="708"/>
      <c r="M702" s="708"/>
      <c r="N702" s="708"/>
      <c r="O702" s="314"/>
    </row>
    <row r="703" spans="3:15">
      <c r="C703" s="314" t="s">
        <v>13</v>
      </c>
      <c r="D703" s="538"/>
      <c r="E703" s="314"/>
      <c r="F703" s="314"/>
      <c r="G703" s="314"/>
      <c r="H703" s="708"/>
      <c r="I703" s="708"/>
      <c r="J703" s="730"/>
      <c r="K703" s="708"/>
      <c r="L703" s="708"/>
      <c r="M703" s="708"/>
      <c r="N703" s="708"/>
      <c r="O703" s="314"/>
    </row>
    <row r="704" spans="3:15">
      <c r="C704" s="314"/>
      <c r="D704" s="538"/>
      <c r="E704" s="314"/>
      <c r="F704" s="314"/>
      <c r="G704" s="314"/>
      <c r="H704" s="708"/>
      <c r="I704" s="708"/>
      <c r="J704" s="730"/>
      <c r="K704" s="708"/>
      <c r="L704" s="708"/>
      <c r="M704" s="708"/>
      <c r="N704" s="708"/>
      <c r="O704" s="314"/>
    </row>
    <row r="705" spans="1:16">
      <c r="C705" s="749" t="s">
        <v>14</v>
      </c>
      <c r="D705" s="736"/>
      <c r="E705" s="736"/>
      <c r="F705" s="736"/>
      <c r="G705" s="730"/>
      <c r="H705" s="730"/>
      <c r="I705" s="804"/>
      <c r="J705" s="804"/>
      <c r="K705" s="804"/>
      <c r="L705" s="804"/>
      <c r="M705" s="804"/>
      <c r="N705" s="804"/>
      <c r="O705" s="314"/>
    </row>
    <row r="706" spans="1:16">
      <c r="C706" s="735" t="s">
        <v>263</v>
      </c>
      <c r="D706" s="736"/>
      <c r="E706" s="736"/>
      <c r="F706" s="736"/>
      <c r="G706" s="730"/>
      <c r="H706" s="730"/>
      <c r="I706" s="804"/>
      <c r="J706" s="804"/>
      <c r="K706" s="804"/>
      <c r="L706" s="804"/>
      <c r="M706" s="804"/>
      <c r="N706" s="804"/>
      <c r="O706" s="314"/>
    </row>
    <row r="707" spans="1:16">
      <c r="C707" s="735" t="s">
        <v>84</v>
      </c>
      <c r="D707" s="736"/>
      <c r="E707" s="736"/>
      <c r="F707" s="736"/>
      <c r="G707" s="730"/>
      <c r="H707" s="730"/>
      <c r="I707" s="804"/>
      <c r="J707" s="804"/>
      <c r="K707" s="804"/>
      <c r="L707" s="804"/>
      <c r="M707" s="804"/>
      <c r="N707" s="804"/>
      <c r="O707" s="314"/>
    </row>
    <row r="708" spans="1:16">
      <c r="C708" s="735"/>
      <c r="D708" s="736"/>
      <c r="E708" s="736"/>
      <c r="F708" s="736"/>
      <c r="G708" s="730"/>
      <c r="H708" s="730"/>
      <c r="I708" s="804"/>
      <c r="J708" s="804"/>
      <c r="K708" s="804"/>
      <c r="L708" s="804"/>
      <c r="M708" s="804"/>
      <c r="N708" s="804"/>
      <c r="O708" s="314"/>
    </row>
    <row r="709" spans="1:16">
      <c r="C709" s="1526" t="s">
        <v>6</v>
      </c>
      <c r="D709" s="1526"/>
      <c r="E709" s="1526"/>
      <c r="F709" s="1526"/>
      <c r="G709" s="1526"/>
      <c r="H709" s="1526"/>
      <c r="I709" s="1526"/>
      <c r="J709" s="1526"/>
      <c r="K709" s="1526"/>
      <c r="L709" s="1526"/>
      <c r="M709" s="1526"/>
      <c r="N709" s="1526"/>
      <c r="O709" s="1526"/>
    </row>
    <row r="710" spans="1:16">
      <c r="C710" s="1526"/>
      <c r="D710" s="1526"/>
      <c r="E710" s="1526"/>
      <c r="F710" s="1526"/>
      <c r="G710" s="1526"/>
      <c r="H710" s="1526"/>
      <c r="I710" s="1526"/>
      <c r="J710" s="1526"/>
      <c r="K710" s="1526"/>
      <c r="L710" s="1526"/>
      <c r="M710" s="1526"/>
      <c r="N710" s="1526"/>
      <c r="O710" s="1526"/>
    </row>
    <row r="711" spans="1:16">
      <c r="C711" s="735"/>
      <c r="D711" s="736"/>
      <c r="E711" s="736"/>
      <c r="F711" s="736"/>
      <c r="G711" s="730"/>
      <c r="H711" s="730"/>
    </row>
    <row r="712" spans="1:16" ht="20.25">
      <c r="A712" s="737" t="str">
        <f>""&amp;A636&amp;" Worksheet J -  ATRR PROJECTED Calculation for PJM Projects Charged to Benefiting Zones"</f>
        <v xml:space="preserve"> Worksheet J -  ATRR PROJECTED Calculation for PJM Projects Charged to Benefiting Zones</v>
      </c>
      <c r="B712" s="348"/>
      <c r="C712" s="725"/>
      <c r="D712" s="538"/>
      <c r="E712" s="314"/>
      <c r="F712" s="707"/>
      <c r="G712" s="314"/>
      <c r="H712" s="708"/>
      <c r="K712" s="564"/>
      <c r="L712" s="564"/>
      <c r="M712" s="564"/>
      <c r="N712" s="653" t="str">
        <f>"Page "&amp;SUM(P$8:P712)&amp;" of "</f>
        <v xml:space="preserve">Page 9 of </v>
      </c>
      <c r="O712" s="654">
        <f>COUNT(P$8:P$56653)</f>
        <v>12</v>
      </c>
      <c r="P712" s="738">
        <v>1</v>
      </c>
    </row>
    <row r="713" spans="1:16">
      <c r="B713" s="348"/>
      <c r="C713" s="314"/>
      <c r="D713" s="538"/>
      <c r="E713" s="314"/>
      <c r="F713" s="314"/>
      <c r="G713" s="314"/>
      <c r="H713" s="708"/>
      <c r="I713" s="314"/>
      <c r="J713" s="427"/>
      <c r="K713" s="314"/>
      <c r="L713" s="314"/>
      <c r="M713" s="314"/>
      <c r="N713" s="314"/>
      <c r="O713" s="314"/>
      <c r="P713" s="427"/>
    </row>
    <row r="714" spans="1:16" ht="18">
      <c r="B714" s="657" t="s">
        <v>464</v>
      </c>
      <c r="C714" s="739" t="s">
        <v>85</v>
      </c>
      <c r="D714" s="538"/>
      <c r="E714" s="314"/>
      <c r="F714" s="314"/>
      <c r="G714" s="314"/>
      <c r="H714" s="708"/>
      <c r="I714" s="708"/>
      <c r="J714" s="730"/>
      <c r="K714" s="708"/>
      <c r="L714" s="708"/>
      <c r="M714" s="708"/>
      <c r="N714" s="708"/>
      <c r="O714" s="314"/>
    </row>
    <row r="715" spans="1:16" ht="18.75">
      <c r="B715" s="657"/>
      <c r="C715" s="656"/>
      <c r="D715" s="538"/>
      <c r="E715" s="314"/>
      <c r="F715" s="314"/>
      <c r="G715" s="314"/>
      <c r="H715" s="708"/>
      <c r="I715" s="708"/>
      <c r="J715" s="730"/>
      <c r="K715" s="708"/>
      <c r="L715" s="708"/>
      <c r="M715" s="708"/>
      <c r="N715" s="708"/>
      <c r="O715" s="314"/>
    </row>
    <row r="716" spans="1:16" ht="18.75">
      <c r="B716" s="657"/>
      <c r="C716" s="656" t="s">
        <v>86</v>
      </c>
      <c r="D716" s="538"/>
      <c r="E716" s="314"/>
      <c r="F716" s="314"/>
      <c r="G716" s="314"/>
      <c r="H716" s="708"/>
      <c r="I716" s="708"/>
      <c r="J716" s="730"/>
      <c r="K716" s="708"/>
      <c r="L716" s="708"/>
      <c r="M716" s="708"/>
      <c r="N716" s="708"/>
      <c r="O716" s="314"/>
    </row>
    <row r="717" spans="1:16" ht="15.75" thickBot="1">
      <c r="C717" s="240"/>
      <c r="D717" s="538"/>
      <c r="E717" s="314"/>
      <c r="F717" s="314"/>
      <c r="G717" s="314"/>
      <c r="H717" s="708"/>
      <c r="I717" s="708"/>
      <c r="J717" s="730"/>
      <c r="K717" s="708"/>
      <c r="L717" s="708"/>
      <c r="M717" s="708"/>
      <c r="N717" s="708"/>
      <c r="O717" s="314"/>
    </row>
    <row r="718" spans="1:16" ht="15.75">
      <c r="C718" s="659" t="s">
        <v>87</v>
      </c>
      <c r="D718" s="538"/>
      <c r="E718" s="314"/>
      <c r="F718" s="314"/>
      <c r="G718" s="806"/>
      <c r="H718" s="314" t="s">
        <v>66</v>
      </c>
      <c r="I718" s="314"/>
      <c r="J718" s="427"/>
      <c r="K718" s="740" t="s">
        <v>91</v>
      </c>
      <c r="L718" s="741"/>
      <c r="M718" s="742"/>
      <c r="N718" s="743">
        <f>IF(I724=0,0,VLOOKUP(I724,C731:O790,5))</f>
        <v>482497.59561088512</v>
      </c>
      <c r="O718" s="314"/>
    </row>
    <row r="719" spans="1:16" ht="15.75">
      <c r="C719" s="659"/>
      <c r="D719" s="538"/>
      <c r="E719" s="314"/>
      <c r="F719" s="314"/>
      <c r="G719" s="314"/>
      <c r="H719" s="744"/>
      <c r="I719" s="744"/>
      <c r="J719" s="745"/>
      <c r="K719" s="746" t="s">
        <v>92</v>
      </c>
      <c r="L719" s="747"/>
      <c r="M719" s="427"/>
      <c r="N719" s="748">
        <f>IF(I724=0,0,VLOOKUP(I724,C731:O790,6))</f>
        <v>482497.59561088512</v>
      </c>
      <c r="O719" s="314"/>
    </row>
    <row r="720" spans="1:16" ht="13.5" thickBot="1">
      <c r="C720" s="749" t="s">
        <v>88</v>
      </c>
      <c r="D720" s="1527" t="s">
        <v>817</v>
      </c>
      <c r="E720" s="1527"/>
      <c r="F720" s="1527"/>
      <c r="G720" s="1527"/>
      <c r="H720" s="1527"/>
      <c r="I720" s="1527"/>
      <c r="J720" s="730"/>
      <c r="K720" s="750" t="s">
        <v>230</v>
      </c>
      <c r="L720" s="751"/>
      <c r="M720" s="751"/>
      <c r="N720" s="752">
        <f>+N719-N718</f>
        <v>0</v>
      </c>
      <c r="O720" s="314"/>
    </row>
    <row r="721" spans="2:15">
      <c r="C721" s="753"/>
      <c r="D721" s="754"/>
      <c r="E721" s="734"/>
      <c r="F721" s="734"/>
      <c r="G721" s="755"/>
      <c r="H721" s="708"/>
      <c r="I721" s="708"/>
      <c r="J721" s="730"/>
      <c r="K721" s="708"/>
      <c r="L721" s="708"/>
      <c r="M721" s="708"/>
      <c r="N721" s="708"/>
      <c r="O721" s="314"/>
    </row>
    <row r="722" spans="2:15" ht="13.5" thickBot="1">
      <c r="C722" s="756"/>
      <c r="D722" s="757"/>
      <c r="E722" s="755"/>
      <c r="F722" s="755"/>
      <c r="G722" s="755"/>
      <c r="H722" s="755"/>
      <c r="I722" s="755"/>
      <c r="J722" s="758"/>
      <c r="K722" s="755"/>
      <c r="L722" s="755"/>
      <c r="M722" s="755"/>
      <c r="N722" s="755"/>
      <c r="O722" s="348"/>
    </row>
    <row r="723" spans="2:15" ht="13.5" thickBot="1">
      <c r="C723" s="759" t="s">
        <v>89</v>
      </c>
      <c r="D723" s="760"/>
      <c r="E723" s="760"/>
      <c r="F723" s="760"/>
      <c r="G723" s="760"/>
      <c r="H723" s="760"/>
      <c r="I723" s="761"/>
      <c r="J723" s="762"/>
      <c r="K723" s="314"/>
      <c r="L723" s="314"/>
      <c r="M723" s="314"/>
      <c r="N723" s="314"/>
      <c r="O723" s="763"/>
    </row>
    <row r="724" spans="2:15" ht="15">
      <c r="C724" s="764" t="s">
        <v>67</v>
      </c>
      <c r="D724" s="808">
        <v>4358345.49</v>
      </c>
      <c r="E724" s="725" t="s">
        <v>68</v>
      </c>
      <c r="G724" s="765"/>
      <c r="H724" s="765"/>
      <c r="I724" s="766">
        <f>$L$26</f>
        <v>2025</v>
      </c>
      <c r="J724" s="554"/>
      <c r="K724" s="1528" t="s">
        <v>239</v>
      </c>
      <c r="L724" s="1528"/>
      <c r="M724" s="1528"/>
      <c r="N724" s="1528"/>
      <c r="O724" s="1528"/>
    </row>
    <row r="725" spans="2:15">
      <c r="C725" s="764" t="s">
        <v>70</v>
      </c>
      <c r="D725" s="809">
        <v>2015</v>
      </c>
      <c r="E725" s="764" t="s">
        <v>71</v>
      </c>
      <c r="F725" s="765"/>
      <c r="H725" s="173"/>
      <c r="I725" s="810">
        <f>IF(G718="",0,$F$17)</f>
        <v>0</v>
      </c>
      <c r="J725" s="767"/>
      <c r="K725" s="730" t="s">
        <v>239</v>
      </c>
    </row>
    <row r="726" spans="2:15">
      <c r="C726" s="764" t="s">
        <v>72</v>
      </c>
      <c r="D726" s="808">
        <v>10</v>
      </c>
      <c r="E726" s="764" t="s">
        <v>73</v>
      </c>
      <c r="F726" s="765"/>
      <c r="H726" s="173"/>
      <c r="I726" s="768">
        <f>$G$70</f>
        <v>0.11318296473052861</v>
      </c>
      <c r="J726" s="769"/>
      <c r="K726" s="173" t="str">
        <f>"          INPUT PROJECTED ARR (WITH &amp; WITHOUT INCENTIVES) FROM EACH PRIOR YEAR"</f>
        <v xml:space="preserve">          INPUT PROJECTED ARR (WITH &amp; WITHOUT INCENTIVES) FROM EACH PRIOR YEAR</v>
      </c>
    </row>
    <row r="727" spans="2:15">
      <c r="C727" s="764" t="s">
        <v>74</v>
      </c>
      <c r="D727" s="770">
        <f>$G$79</f>
        <v>38</v>
      </c>
      <c r="E727" s="764" t="s">
        <v>75</v>
      </c>
      <c r="F727" s="765"/>
      <c r="H727" s="173"/>
      <c r="I727" s="768">
        <f>IF(G718="",I726,$G$69)</f>
        <v>0.11318296473052861</v>
      </c>
      <c r="J727" s="771"/>
      <c r="K727" s="173" t="s">
        <v>152</v>
      </c>
    </row>
    <row r="728" spans="2:15" ht="13.5" thickBot="1">
      <c r="C728" s="764" t="s">
        <v>76</v>
      </c>
      <c r="D728" s="807" t="s">
        <v>810</v>
      </c>
      <c r="E728" s="772" t="s">
        <v>77</v>
      </c>
      <c r="F728" s="773"/>
      <c r="G728" s="774"/>
      <c r="H728" s="774"/>
      <c r="I728" s="752">
        <f>IF(D724=0,0,D724/D727)</f>
        <v>114693.30236842106</v>
      </c>
      <c r="J728" s="730"/>
      <c r="K728" s="730" t="s">
        <v>158</v>
      </c>
      <c r="L728" s="730"/>
      <c r="M728" s="730"/>
      <c r="N728" s="730"/>
      <c r="O728" s="427"/>
    </row>
    <row r="729" spans="2:15" ht="38.25">
      <c r="B729" s="845"/>
      <c r="C729" s="775" t="s">
        <v>67</v>
      </c>
      <c r="D729" s="776" t="s">
        <v>78</v>
      </c>
      <c r="E729" s="777" t="s">
        <v>79</v>
      </c>
      <c r="F729" s="776" t="s">
        <v>80</v>
      </c>
      <c r="G729" s="777" t="s">
        <v>151</v>
      </c>
      <c r="H729" s="778" t="s">
        <v>151</v>
      </c>
      <c r="I729" s="775" t="s">
        <v>90</v>
      </c>
      <c r="J729" s="779"/>
      <c r="K729" s="777" t="s">
        <v>160</v>
      </c>
      <c r="L729" s="780"/>
      <c r="M729" s="777" t="s">
        <v>160</v>
      </c>
      <c r="N729" s="780"/>
      <c r="O729" s="780"/>
    </row>
    <row r="730" spans="2:15" ht="13.5" thickBot="1">
      <c r="C730" s="781" t="s">
        <v>467</v>
      </c>
      <c r="D730" s="782" t="s">
        <v>468</v>
      </c>
      <c r="E730" s="781" t="s">
        <v>361</v>
      </c>
      <c r="F730" s="782" t="s">
        <v>468</v>
      </c>
      <c r="G730" s="783" t="s">
        <v>93</v>
      </c>
      <c r="H730" s="784" t="s">
        <v>95</v>
      </c>
      <c r="I730" s="785" t="s">
        <v>15</v>
      </c>
      <c r="J730" s="786"/>
      <c r="K730" s="783" t="s">
        <v>82</v>
      </c>
      <c r="L730" s="787"/>
      <c r="M730" s="783" t="s">
        <v>95</v>
      </c>
      <c r="N730" s="787"/>
      <c r="O730" s="787"/>
    </row>
    <row r="731" spans="2:15">
      <c r="C731" s="788">
        <f>IF(D725= "","-",D725)</f>
        <v>2015</v>
      </c>
      <c r="D731" s="736">
        <f>+D724</f>
        <v>4358345.49</v>
      </c>
      <c r="E731" s="789">
        <f>+I728/12*(12-D726)</f>
        <v>19115.550394736845</v>
      </c>
      <c r="F731" s="736">
        <f>+D731-E731</f>
        <v>4339229.9396052631</v>
      </c>
      <c r="G731" s="999">
        <f>+$I$96*((D731+F731)/2)+E731</f>
        <v>511324.23693979927</v>
      </c>
      <c r="H731" s="1000">
        <f>$I$97*((D731+F731)/2)+E731</f>
        <v>511324.23693979927</v>
      </c>
      <c r="I731" s="792">
        <f>+H731-G731</f>
        <v>0</v>
      </c>
      <c r="J731" s="792"/>
      <c r="K731" s="811">
        <v>366645</v>
      </c>
      <c r="L731" s="793"/>
      <c r="M731" s="811">
        <v>366645</v>
      </c>
      <c r="N731" s="793"/>
      <c r="O731" s="793"/>
    </row>
    <row r="732" spans="2:15">
      <c r="C732" s="788">
        <f>IF(D725="","-",+C731+1)</f>
        <v>2016</v>
      </c>
      <c r="D732" s="736">
        <f t="shared" ref="D732:D790" si="42">F731</f>
        <v>4339229.9396052631</v>
      </c>
      <c r="E732" s="789">
        <f>IF(D732&gt;$I$728,$I$728,D732)</f>
        <v>114693.30236842106</v>
      </c>
      <c r="F732" s="736">
        <f t="shared" ref="F732:F790" si="43">+D732-E732</f>
        <v>4224536.637236842</v>
      </c>
      <c r="G732" s="794">
        <f t="shared" ref="G732:G790" si="44">+$I$96*((D732+F732)/2)+E732</f>
        <v>599329.54758202087</v>
      </c>
      <c r="H732" s="795">
        <f t="shared" ref="H732:H790" si="45">$I$97*((D732+F732)/2)+E732</f>
        <v>599329.54758202087</v>
      </c>
      <c r="I732" s="792">
        <f t="shared" ref="I732:I790" si="46">+H732-G732</f>
        <v>0</v>
      </c>
      <c r="J732" s="792"/>
      <c r="K732" s="812">
        <v>552054</v>
      </c>
      <c r="L732" s="796"/>
      <c r="M732" s="812">
        <v>552054</v>
      </c>
      <c r="N732" s="796"/>
      <c r="O732" s="796"/>
    </row>
    <row r="733" spans="2:15">
      <c r="C733" s="788">
        <f>IF(D725="","-",+C732+1)</f>
        <v>2017</v>
      </c>
      <c r="D733" s="736">
        <f t="shared" si="42"/>
        <v>4224536.637236842</v>
      </c>
      <c r="E733" s="789">
        <f t="shared" ref="E733:E790" si="47">IF(D733&gt;$I$728,$I$728,D733)</f>
        <v>114693.30236842106</v>
      </c>
      <c r="F733" s="736">
        <f t="shared" si="43"/>
        <v>4109843.3348684208</v>
      </c>
      <c r="G733" s="794">
        <f t="shared" si="44"/>
        <v>586348.21958522801</v>
      </c>
      <c r="H733" s="795">
        <f t="shared" si="45"/>
        <v>586348.21958522801</v>
      </c>
      <c r="I733" s="792">
        <f t="shared" si="46"/>
        <v>0</v>
      </c>
      <c r="J733" s="792"/>
      <c r="K733" s="812">
        <v>493365</v>
      </c>
      <c r="L733" s="796"/>
      <c r="M733" s="812">
        <v>493365</v>
      </c>
      <c r="N733" s="796"/>
      <c r="O733" s="796"/>
    </row>
    <row r="734" spans="2:15">
      <c r="C734" s="1315">
        <f>IF(D725="","-",+C733+1)</f>
        <v>2018</v>
      </c>
      <c r="D734" s="736">
        <f t="shared" si="42"/>
        <v>4109843.3348684208</v>
      </c>
      <c r="E734" s="789">
        <f t="shared" si="47"/>
        <v>114693.30236842106</v>
      </c>
      <c r="F734" s="736">
        <f t="shared" si="43"/>
        <v>3995150.0324999997</v>
      </c>
      <c r="G734" s="794">
        <f t="shared" si="44"/>
        <v>573366.89158843516</v>
      </c>
      <c r="H734" s="795">
        <f t="shared" si="45"/>
        <v>573366.89158843516</v>
      </c>
      <c r="I734" s="792">
        <f t="shared" si="46"/>
        <v>0</v>
      </c>
      <c r="J734" s="792"/>
      <c r="K734" s="812">
        <v>480393</v>
      </c>
      <c r="L734" s="796"/>
      <c r="M734" s="812">
        <v>480393</v>
      </c>
      <c r="N734" s="796"/>
      <c r="O734" s="796"/>
    </row>
    <row r="735" spans="2:15">
      <c r="C735" s="1315">
        <f>IF(D725="","-",+C734+1)</f>
        <v>2019</v>
      </c>
      <c r="D735" s="736">
        <f t="shared" si="42"/>
        <v>3995150.0324999997</v>
      </c>
      <c r="E735" s="789">
        <f t="shared" si="47"/>
        <v>114693.30236842106</v>
      </c>
      <c r="F735" s="736">
        <f t="shared" si="43"/>
        <v>3880456.7301315786</v>
      </c>
      <c r="G735" s="794">
        <f t="shared" si="44"/>
        <v>560385.56359164231</v>
      </c>
      <c r="H735" s="795">
        <f t="shared" si="45"/>
        <v>560385.56359164231</v>
      </c>
      <c r="I735" s="792">
        <f t="shared" si="46"/>
        <v>0</v>
      </c>
      <c r="J735" s="792"/>
      <c r="K735" s="812">
        <v>508708.55765431951</v>
      </c>
      <c r="L735" s="796"/>
      <c r="M735" s="812">
        <v>508708.55765431951</v>
      </c>
      <c r="N735" s="796"/>
      <c r="O735" s="796"/>
    </row>
    <row r="736" spans="2:15">
      <c r="C736" s="1315">
        <f>IF(D724="","-",+C735+1)</f>
        <v>2020</v>
      </c>
      <c r="D736" s="736">
        <f t="shared" si="42"/>
        <v>3880456.7301315786</v>
      </c>
      <c r="E736" s="789">
        <f t="shared" si="47"/>
        <v>114693.30236842106</v>
      </c>
      <c r="F736" s="736">
        <f t="shared" si="43"/>
        <v>3765763.4277631575</v>
      </c>
      <c r="G736" s="794">
        <f t="shared" si="44"/>
        <v>547404.23559484945</v>
      </c>
      <c r="H736" s="795">
        <f t="shared" si="45"/>
        <v>547404.23559484945</v>
      </c>
      <c r="I736" s="792">
        <f t="shared" si="46"/>
        <v>0</v>
      </c>
      <c r="J736" s="792"/>
      <c r="K736" s="812">
        <v>503037.28128868516</v>
      </c>
      <c r="L736" s="796"/>
      <c r="M736" s="812">
        <v>503037.28128868516</v>
      </c>
      <c r="N736" s="796"/>
      <c r="O736" s="796"/>
    </row>
    <row r="737" spans="3:15">
      <c r="C737" s="1315">
        <f>IF(D724="","-",+C736+1)</f>
        <v>2021</v>
      </c>
      <c r="D737" s="736">
        <f t="shared" si="42"/>
        <v>3765763.4277631575</v>
      </c>
      <c r="E737" s="789">
        <f t="shared" si="47"/>
        <v>114693.30236842106</v>
      </c>
      <c r="F737" s="736">
        <f t="shared" si="43"/>
        <v>3651070.1253947364</v>
      </c>
      <c r="G737" s="794">
        <f t="shared" si="44"/>
        <v>534422.9075980566</v>
      </c>
      <c r="H737" s="795">
        <f t="shared" si="45"/>
        <v>534422.9075980566</v>
      </c>
      <c r="I737" s="792">
        <f t="shared" si="46"/>
        <v>0</v>
      </c>
      <c r="J737" s="792"/>
      <c r="K737" s="812">
        <v>505335.19675261865</v>
      </c>
      <c r="L737" s="796"/>
      <c r="M737" s="812">
        <v>505335.19675261865</v>
      </c>
      <c r="N737" s="796"/>
      <c r="O737" s="796"/>
    </row>
    <row r="738" spans="3:15">
      <c r="C738" s="1315">
        <f>IF(D725="","-",+C737+1)</f>
        <v>2022</v>
      </c>
      <c r="D738" s="736">
        <f t="shared" si="42"/>
        <v>3651070.1253947364</v>
      </c>
      <c r="E738" s="789">
        <f t="shared" si="47"/>
        <v>114693.30236842106</v>
      </c>
      <c r="F738" s="736">
        <f t="shared" si="43"/>
        <v>3536376.8230263153</v>
      </c>
      <c r="G738" s="794">
        <f t="shared" si="44"/>
        <v>521441.57960126374</v>
      </c>
      <c r="H738" s="795">
        <f t="shared" si="45"/>
        <v>521441.57960126374</v>
      </c>
      <c r="I738" s="792">
        <f t="shared" si="46"/>
        <v>0</v>
      </c>
      <c r="J738" s="792"/>
      <c r="K738" s="812">
        <v>503904.32658087154</v>
      </c>
      <c r="L738" s="796"/>
      <c r="M738" s="812">
        <v>503904.32658087154</v>
      </c>
      <c r="N738" s="796"/>
      <c r="O738" s="796"/>
    </row>
    <row r="739" spans="3:15">
      <c r="C739" s="1315">
        <f>IF(D725="","-",+C738+1)</f>
        <v>2023</v>
      </c>
      <c r="D739" s="736">
        <f t="shared" si="42"/>
        <v>3536376.8230263153</v>
      </c>
      <c r="E739" s="789">
        <f t="shared" si="47"/>
        <v>114693.30236842106</v>
      </c>
      <c r="F739" s="736">
        <f t="shared" si="43"/>
        <v>3421683.5206578942</v>
      </c>
      <c r="G739" s="794">
        <f t="shared" si="44"/>
        <v>508460.25160447089</v>
      </c>
      <c r="H739" s="795">
        <f t="shared" si="45"/>
        <v>508460.25160447089</v>
      </c>
      <c r="I739" s="792">
        <f t="shared" si="46"/>
        <v>0</v>
      </c>
      <c r="J739" s="792"/>
      <c r="K739" s="812">
        <v>501438.95326843805</v>
      </c>
      <c r="L739" s="796"/>
      <c r="M739" s="812">
        <v>501438.95326843805</v>
      </c>
      <c r="N739" s="796"/>
      <c r="O739" s="796"/>
    </row>
    <row r="740" spans="3:15">
      <c r="C740" s="1433">
        <f>IF(D725="","-",+C739+1)</f>
        <v>2024</v>
      </c>
      <c r="D740" s="736">
        <f t="shared" si="42"/>
        <v>3421683.5206578942</v>
      </c>
      <c r="E740" s="789">
        <f t="shared" si="47"/>
        <v>114693.30236842106</v>
      </c>
      <c r="F740" s="736">
        <f t="shared" si="43"/>
        <v>3306990.2182894731</v>
      </c>
      <c r="G740" s="794">
        <f t="shared" si="44"/>
        <v>495478.92360767804</v>
      </c>
      <c r="H740" s="795">
        <f t="shared" si="45"/>
        <v>495478.92360767804</v>
      </c>
      <c r="I740" s="792">
        <f t="shared" si="46"/>
        <v>0</v>
      </c>
      <c r="J740" s="792"/>
      <c r="K740" s="812">
        <v>498454.33708417451</v>
      </c>
      <c r="L740" s="796"/>
      <c r="M740" s="812">
        <v>498454.33708417451</v>
      </c>
      <c r="N740" s="796"/>
      <c r="O740" s="796"/>
    </row>
    <row r="741" spans="3:15">
      <c r="C741" s="1311">
        <f>IF(D725="","-",+C740+1)</f>
        <v>2025</v>
      </c>
      <c r="D741" s="736">
        <f t="shared" si="42"/>
        <v>3306990.2182894731</v>
      </c>
      <c r="E741" s="789">
        <f t="shared" si="47"/>
        <v>114693.30236842106</v>
      </c>
      <c r="F741" s="736">
        <f t="shared" si="43"/>
        <v>3192296.915921052</v>
      </c>
      <c r="G741" s="794">
        <f t="shared" si="44"/>
        <v>482497.59561088512</v>
      </c>
      <c r="H741" s="795">
        <f t="shared" si="45"/>
        <v>482497.59561088512</v>
      </c>
      <c r="I741" s="792">
        <f t="shared" si="46"/>
        <v>0</v>
      </c>
      <c r="J741" s="792"/>
      <c r="K741" s="812"/>
      <c r="L741" s="796"/>
      <c r="M741" s="812"/>
      <c r="N741" s="796"/>
      <c r="O741" s="796"/>
    </row>
    <row r="742" spans="3:15">
      <c r="C742" s="788">
        <f>IF(D725="","-",+C741+1)</f>
        <v>2026</v>
      </c>
      <c r="D742" s="736">
        <f t="shared" si="42"/>
        <v>3192296.915921052</v>
      </c>
      <c r="E742" s="789">
        <f t="shared" si="47"/>
        <v>114693.30236842106</v>
      </c>
      <c r="F742" s="736">
        <f t="shared" si="43"/>
        <v>3077603.6135526309</v>
      </c>
      <c r="G742" s="794">
        <f t="shared" si="44"/>
        <v>469516.26761409227</v>
      </c>
      <c r="H742" s="795">
        <f t="shared" si="45"/>
        <v>469516.26761409227</v>
      </c>
      <c r="I742" s="792">
        <f t="shared" si="46"/>
        <v>0</v>
      </c>
      <c r="J742" s="792"/>
      <c r="K742" s="812"/>
      <c r="L742" s="796"/>
      <c r="M742" s="812"/>
      <c r="N742" s="796"/>
      <c r="O742" s="796"/>
    </row>
    <row r="743" spans="3:15">
      <c r="C743" s="788">
        <f>IF(D725="","-",+C742+1)</f>
        <v>2027</v>
      </c>
      <c r="D743" s="736">
        <f t="shared" si="42"/>
        <v>3077603.6135526309</v>
      </c>
      <c r="E743" s="789">
        <f t="shared" si="47"/>
        <v>114693.30236842106</v>
      </c>
      <c r="F743" s="736">
        <f t="shared" si="43"/>
        <v>2962910.3111842098</v>
      </c>
      <c r="G743" s="794">
        <f t="shared" si="44"/>
        <v>456534.93961729942</v>
      </c>
      <c r="H743" s="795">
        <f t="shared" si="45"/>
        <v>456534.93961729942</v>
      </c>
      <c r="I743" s="792">
        <f t="shared" si="46"/>
        <v>0</v>
      </c>
      <c r="J743" s="792"/>
      <c r="K743" s="812"/>
      <c r="L743" s="796"/>
      <c r="M743" s="812"/>
      <c r="N743" s="797"/>
      <c r="O743" s="796"/>
    </row>
    <row r="744" spans="3:15">
      <c r="C744" s="788">
        <f>IF(D725="","-",+C743+1)</f>
        <v>2028</v>
      </c>
      <c r="D744" s="736">
        <f t="shared" si="42"/>
        <v>2962910.3111842098</v>
      </c>
      <c r="E744" s="789">
        <f t="shared" si="47"/>
        <v>114693.30236842106</v>
      </c>
      <c r="F744" s="736">
        <f t="shared" si="43"/>
        <v>2848217.0088157887</v>
      </c>
      <c r="G744" s="794">
        <f t="shared" si="44"/>
        <v>443553.61162050656</v>
      </c>
      <c r="H744" s="795">
        <f t="shared" si="45"/>
        <v>443553.61162050656</v>
      </c>
      <c r="I744" s="792">
        <f t="shared" si="46"/>
        <v>0</v>
      </c>
      <c r="J744" s="792"/>
      <c r="K744" s="812"/>
      <c r="L744" s="796"/>
      <c r="M744" s="812"/>
      <c r="N744" s="796"/>
      <c r="O744" s="796"/>
    </row>
    <row r="745" spans="3:15">
      <c r="C745" s="788">
        <f>IF(D725="","-",+C744+1)</f>
        <v>2029</v>
      </c>
      <c r="D745" s="736">
        <f t="shared" si="42"/>
        <v>2848217.0088157887</v>
      </c>
      <c r="E745" s="789">
        <f t="shared" si="47"/>
        <v>114693.30236842106</v>
      </c>
      <c r="F745" s="736">
        <f t="shared" si="43"/>
        <v>2733523.7064473676</v>
      </c>
      <c r="G745" s="794">
        <f t="shared" si="44"/>
        <v>430572.28362371371</v>
      </c>
      <c r="H745" s="795">
        <f t="shared" si="45"/>
        <v>430572.28362371371</v>
      </c>
      <c r="I745" s="792">
        <f t="shared" si="46"/>
        <v>0</v>
      </c>
      <c r="J745" s="792"/>
      <c r="K745" s="812"/>
      <c r="L745" s="796"/>
      <c r="M745" s="812"/>
      <c r="N745" s="796"/>
      <c r="O745" s="796"/>
    </row>
    <row r="746" spans="3:15">
      <c r="C746" s="788">
        <f>IF(D725="","-",+C745+1)</f>
        <v>2030</v>
      </c>
      <c r="D746" s="736">
        <f t="shared" si="42"/>
        <v>2733523.7064473676</v>
      </c>
      <c r="E746" s="789">
        <f t="shared" si="47"/>
        <v>114693.30236842106</v>
      </c>
      <c r="F746" s="736">
        <f t="shared" si="43"/>
        <v>2618830.4040789464</v>
      </c>
      <c r="G746" s="794">
        <f t="shared" si="44"/>
        <v>417590.95562692086</v>
      </c>
      <c r="H746" s="795">
        <f t="shared" si="45"/>
        <v>417590.95562692086</v>
      </c>
      <c r="I746" s="792">
        <f t="shared" si="46"/>
        <v>0</v>
      </c>
      <c r="J746" s="792"/>
      <c r="K746" s="812"/>
      <c r="L746" s="796"/>
      <c r="M746" s="812"/>
      <c r="N746" s="796"/>
      <c r="O746" s="796"/>
    </row>
    <row r="747" spans="3:15">
      <c r="C747" s="788">
        <f>IF(D725="","-",+C746+1)</f>
        <v>2031</v>
      </c>
      <c r="D747" s="736">
        <f t="shared" si="42"/>
        <v>2618830.4040789464</v>
      </c>
      <c r="E747" s="789">
        <f t="shared" si="47"/>
        <v>114693.30236842106</v>
      </c>
      <c r="F747" s="736">
        <f t="shared" si="43"/>
        <v>2504137.1017105253</v>
      </c>
      <c r="G747" s="794">
        <f t="shared" si="44"/>
        <v>404609.627630128</v>
      </c>
      <c r="H747" s="795">
        <f t="shared" si="45"/>
        <v>404609.627630128</v>
      </c>
      <c r="I747" s="792">
        <f t="shared" si="46"/>
        <v>0</v>
      </c>
      <c r="J747" s="792"/>
      <c r="K747" s="812"/>
      <c r="L747" s="796"/>
      <c r="M747" s="812"/>
      <c r="N747" s="796"/>
      <c r="O747" s="796"/>
    </row>
    <row r="748" spans="3:15">
      <c r="C748" s="788">
        <f>IF(D725="","-",+C747+1)</f>
        <v>2032</v>
      </c>
      <c r="D748" s="736">
        <f t="shared" si="42"/>
        <v>2504137.1017105253</v>
      </c>
      <c r="E748" s="789">
        <f t="shared" si="47"/>
        <v>114693.30236842106</v>
      </c>
      <c r="F748" s="736">
        <f t="shared" si="43"/>
        <v>2389443.7993421042</v>
      </c>
      <c r="G748" s="794">
        <f t="shared" si="44"/>
        <v>391628.29963333515</v>
      </c>
      <c r="H748" s="795">
        <f t="shared" si="45"/>
        <v>391628.29963333515</v>
      </c>
      <c r="I748" s="792">
        <f t="shared" si="46"/>
        <v>0</v>
      </c>
      <c r="J748" s="792"/>
      <c r="K748" s="812"/>
      <c r="L748" s="796"/>
      <c r="M748" s="812"/>
      <c r="N748" s="796"/>
      <c r="O748" s="796"/>
    </row>
    <row r="749" spans="3:15">
      <c r="C749" s="788">
        <f>IF(D725="","-",+C748+1)</f>
        <v>2033</v>
      </c>
      <c r="D749" s="736">
        <f t="shared" si="42"/>
        <v>2389443.7993421042</v>
      </c>
      <c r="E749" s="789">
        <f t="shared" si="47"/>
        <v>114693.30236842106</v>
      </c>
      <c r="F749" s="736">
        <f t="shared" si="43"/>
        <v>2274750.4969736831</v>
      </c>
      <c r="G749" s="794">
        <f t="shared" si="44"/>
        <v>378646.97163654229</v>
      </c>
      <c r="H749" s="795">
        <f t="shared" si="45"/>
        <v>378646.97163654229</v>
      </c>
      <c r="I749" s="792">
        <f t="shared" si="46"/>
        <v>0</v>
      </c>
      <c r="J749" s="792"/>
      <c r="K749" s="812"/>
      <c r="L749" s="796"/>
      <c r="M749" s="812"/>
      <c r="N749" s="796"/>
      <c r="O749" s="796"/>
    </row>
    <row r="750" spans="3:15">
      <c r="C750" s="788">
        <f>IF(D725="","-",+C749+1)</f>
        <v>2034</v>
      </c>
      <c r="D750" s="736">
        <f t="shared" si="42"/>
        <v>2274750.4969736831</v>
      </c>
      <c r="E750" s="789">
        <f t="shared" si="47"/>
        <v>114693.30236842106</v>
      </c>
      <c r="F750" s="736">
        <f t="shared" si="43"/>
        <v>2160057.194605262</v>
      </c>
      <c r="G750" s="794">
        <f t="shared" si="44"/>
        <v>365665.64363974944</v>
      </c>
      <c r="H750" s="795">
        <f t="shared" si="45"/>
        <v>365665.64363974944</v>
      </c>
      <c r="I750" s="792">
        <f t="shared" si="46"/>
        <v>0</v>
      </c>
      <c r="J750" s="792"/>
      <c r="K750" s="812"/>
      <c r="L750" s="796"/>
      <c r="M750" s="812"/>
      <c r="N750" s="796"/>
      <c r="O750" s="796"/>
    </row>
    <row r="751" spans="3:15">
      <c r="C751" s="788">
        <f>IF(D725="","-",+C750+1)</f>
        <v>2035</v>
      </c>
      <c r="D751" s="736">
        <f t="shared" si="42"/>
        <v>2160057.194605262</v>
      </c>
      <c r="E751" s="789">
        <f t="shared" si="47"/>
        <v>114693.30236842106</v>
      </c>
      <c r="F751" s="736">
        <f t="shared" si="43"/>
        <v>2045363.8922368409</v>
      </c>
      <c r="G751" s="794">
        <f t="shared" si="44"/>
        <v>352684.31564295659</v>
      </c>
      <c r="H751" s="795">
        <f t="shared" si="45"/>
        <v>352684.31564295659</v>
      </c>
      <c r="I751" s="792">
        <f t="shared" si="46"/>
        <v>0</v>
      </c>
      <c r="J751" s="792"/>
      <c r="K751" s="812"/>
      <c r="L751" s="796"/>
      <c r="M751" s="812"/>
      <c r="N751" s="796"/>
      <c r="O751" s="796"/>
    </row>
    <row r="752" spans="3:15">
      <c r="C752" s="788">
        <f>IF(D725="","-",+C751+1)</f>
        <v>2036</v>
      </c>
      <c r="D752" s="736">
        <f t="shared" si="42"/>
        <v>2045363.8922368409</v>
      </c>
      <c r="E752" s="789">
        <f t="shared" si="47"/>
        <v>114693.30236842106</v>
      </c>
      <c r="F752" s="736">
        <f t="shared" si="43"/>
        <v>1930670.5898684198</v>
      </c>
      <c r="G752" s="794">
        <f t="shared" si="44"/>
        <v>339702.98764616373</v>
      </c>
      <c r="H752" s="795">
        <f t="shared" si="45"/>
        <v>339702.98764616373</v>
      </c>
      <c r="I752" s="792">
        <f t="shared" si="46"/>
        <v>0</v>
      </c>
      <c r="J752" s="792"/>
      <c r="K752" s="812"/>
      <c r="L752" s="796"/>
      <c r="M752" s="812"/>
      <c r="N752" s="796"/>
      <c r="O752" s="796"/>
    </row>
    <row r="753" spans="3:15">
      <c r="C753" s="788">
        <f>IF(D725="","-",+C752+1)</f>
        <v>2037</v>
      </c>
      <c r="D753" s="736">
        <f t="shared" si="42"/>
        <v>1930670.5898684198</v>
      </c>
      <c r="E753" s="789">
        <f t="shared" si="47"/>
        <v>114693.30236842106</v>
      </c>
      <c r="F753" s="736">
        <f t="shared" si="43"/>
        <v>1815977.2874999987</v>
      </c>
      <c r="G753" s="794">
        <f t="shared" si="44"/>
        <v>326721.65964937088</v>
      </c>
      <c r="H753" s="795">
        <f t="shared" si="45"/>
        <v>326721.65964937088</v>
      </c>
      <c r="I753" s="792">
        <f t="shared" si="46"/>
        <v>0</v>
      </c>
      <c r="J753" s="792"/>
      <c r="K753" s="812"/>
      <c r="L753" s="796"/>
      <c r="M753" s="812"/>
      <c r="N753" s="796"/>
      <c r="O753" s="796"/>
    </row>
    <row r="754" spans="3:15">
      <c r="C754" s="788">
        <f>IF(D725="","-",+C753+1)</f>
        <v>2038</v>
      </c>
      <c r="D754" s="736">
        <f t="shared" si="42"/>
        <v>1815977.2874999987</v>
      </c>
      <c r="E754" s="789">
        <f t="shared" si="47"/>
        <v>114693.30236842106</v>
      </c>
      <c r="F754" s="736">
        <f t="shared" si="43"/>
        <v>1701283.9851315776</v>
      </c>
      <c r="G754" s="794">
        <f t="shared" si="44"/>
        <v>313740.33165257797</v>
      </c>
      <c r="H754" s="795">
        <f t="shared" si="45"/>
        <v>313740.33165257797</v>
      </c>
      <c r="I754" s="792">
        <f t="shared" si="46"/>
        <v>0</v>
      </c>
      <c r="J754" s="792"/>
      <c r="K754" s="812"/>
      <c r="L754" s="796"/>
      <c r="M754" s="812"/>
      <c r="N754" s="796"/>
      <c r="O754" s="796"/>
    </row>
    <row r="755" spans="3:15">
      <c r="C755" s="788">
        <f>IF(D725="","-",+C754+1)</f>
        <v>2039</v>
      </c>
      <c r="D755" s="736">
        <f t="shared" si="42"/>
        <v>1701283.9851315776</v>
      </c>
      <c r="E755" s="789">
        <f t="shared" si="47"/>
        <v>114693.30236842106</v>
      </c>
      <c r="F755" s="736">
        <f t="shared" si="43"/>
        <v>1586590.6827631565</v>
      </c>
      <c r="G755" s="794">
        <f t="shared" si="44"/>
        <v>300759.00365578511</v>
      </c>
      <c r="H755" s="795">
        <f t="shared" si="45"/>
        <v>300759.00365578511</v>
      </c>
      <c r="I755" s="792">
        <f t="shared" si="46"/>
        <v>0</v>
      </c>
      <c r="J755" s="792"/>
      <c r="K755" s="812"/>
      <c r="L755" s="796"/>
      <c r="M755" s="812"/>
      <c r="N755" s="796"/>
      <c r="O755" s="796"/>
    </row>
    <row r="756" spans="3:15">
      <c r="C756" s="788">
        <f>IF(D725="","-",+C755+1)</f>
        <v>2040</v>
      </c>
      <c r="D756" s="736">
        <f t="shared" si="42"/>
        <v>1586590.6827631565</v>
      </c>
      <c r="E756" s="789">
        <f t="shared" si="47"/>
        <v>114693.30236842106</v>
      </c>
      <c r="F756" s="736">
        <f t="shared" si="43"/>
        <v>1471897.3803947354</v>
      </c>
      <c r="G756" s="794">
        <f t="shared" si="44"/>
        <v>287777.67565899226</v>
      </c>
      <c r="H756" s="795">
        <f t="shared" si="45"/>
        <v>287777.67565899226</v>
      </c>
      <c r="I756" s="792">
        <f t="shared" si="46"/>
        <v>0</v>
      </c>
      <c r="J756" s="792"/>
      <c r="K756" s="812"/>
      <c r="L756" s="796"/>
      <c r="M756" s="812"/>
      <c r="N756" s="796"/>
      <c r="O756" s="796"/>
    </row>
    <row r="757" spans="3:15">
      <c r="C757" s="788">
        <f>IF(D725="","-",+C756+1)</f>
        <v>2041</v>
      </c>
      <c r="D757" s="736">
        <f t="shared" si="42"/>
        <v>1471897.3803947354</v>
      </c>
      <c r="E757" s="789">
        <f t="shared" si="47"/>
        <v>114693.30236842106</v>
      </c>
      <c r="F757" s="736">
        <f t="shared" si="43"/>
        <v>1357204.0780263143</v>
      </c>
      <c r="G757" s="794">
        <f t="shared" si="44"/>
        <v>274796.34766219941</v>
      </c>
      <c r="H757" s="795">
        <f t="shared" si="45"/>
        <v>274796.34766219941</v>
      </c>
      <c r="I757" s="792">
        <f t="shared" si="46"/>
        <v>0</v>
      </c>
      <c r="J757" s="792"/>
      <c r="K757" s="812"/>
      <c r="L757" s="796"/>
      <c r="M757" s="812"/>
      <c r="N757" s="796"/>
      <c r="O757" s="796"/>
    </row>
    <row r="758" spans="3:15">
      <c r="C758" s="788">
        <f>IF(D725="","-",+C757+1)</f>
        <v>2042</v>
      </c>
      <c r="D758" s="736">
        <f t="shared" si="42"/>
        <v>1357204.0780263143</v>
      </c>
      <c r="E758" s="789">
        <f t="shared" si="47"/>
        <v>114693.30236842106</v>
      </c>
      <c r="F758" s="736">
        <f t="shared" si="43"/>
        <v>1242510.7756578932</v>
      </c>
      <c r="G758" s="794">
        <f t="shared" si="44"/>
        <v>261815.01966540655</v>
      </c>
      <c r="H758" s="795">
        <f t="shared" si="45"/>
        <v>261815.01966540655</v>
      </c>
      <c r="I758" s="792">
        <f t="shared" si="46"/>
        <v>0</v>
      </c>
      <c r="J758" s="792"/>
      <c r="K758" s="812"/>
      <c r="L758" s="796"/>
      <c r="M758" s="812"/>
      <c r="N758" s="796"/>
      <c r="O758" s="796"/>
    </row>
    <row r="759" spans="3:15">
      <c r="C759" s="788">
        <f>IF(D725="","-",+C758+1)</f>
        <v>2043</v>
      </c>
      <c r="D759" s="736">
        <f t="shared" si="42"/>
        <v>1242510.7756578932</v>
      </c>
      <c r="E759" s="789">
        <f t="shared" si="47"/>
        <v>114693.30236842106</v>
      </c>
      <c r="F759" s="736">
        <f t="shared" si="43"/>
        <v>1127817.4732894721</v>
      </c>
      <c r="G759" s="790">
        <f t="shared" si="44"/>
        <v>248833.6916686137</v>
      </c>
      <c r="H759" s="795">
        <f t="shared" si="45"/>
        <v>248833.6916686137</v>
      </c>
      <c r="I759" s="792">
        <f t="shared" si="46"/>
        <v>0</v>
      </c>
      <c r="J759" s="792"/>
      <c r="K759" s="812"/>
      <c r="L759" s="796"/>
      <c r="M759" s="812"/>
      <c r="N759" s="796"/>
      <c r="O759" s="796"/>
    </row>
    <row r="760" spans="3:15">
      <c r="C760" s="788">
        <f>IF(D725="","-",+C759+1)</f>
        <v>2044</v>
      </c>
      <c r="D760" s="736">
        <f t="shared" si="42"/>
        <v>1127817.4732894721</v>
      </c>
      <c r="E760" s="789">
        <f t="shared" si="47"/>
        <v>114693.30236842106</v>
      </c>
      <c r="F760" s="736">
        <f t="shared" si="43"/>
        <v>1013124.1709210509</v>
      </c>
      <c r="G760" s="794">
        <f t="shared" si="44"/>
        <v>235852.36367182084</v>
      </c>
      <c r="H760" s="795">
        <f t="shared" si="45"/>
        <v>235852.36367182084</v>
      </c>
      <c r="I760" s="792">
        <f t="shared" si="46"/>
        <v>0</v>
      </c>
      <c r="J760" s="792"/>
      <c r="K760" s="812"/>
      <c r="L760" s="796"/>
      <c r="M760" s="812"/>
      <c r="N760" s="796"/>
      <c r="O760" s="796"/>
    </row>
    <row r="761" spans="3:15">
      <c r="C761" s="788">
        <f>IF(D725="","-",+C760+1)</f>
        <v>2045</v>
      </c>
      <c r="D761" s="736">
        <f t="shared" si="42"/>
        <v>1013124.1709210509</v>
      </c>
      <c r="E761" s="789">
        <f t="shared" si="47"/>
        <v>114693.30236842106</v>
      </c>
      <c r="F761" s="736">
        <f t="shared" si="43"/>
        <v>898430.86855262984</v>
      </c>
      <c r="G761" s="794">
        <f t="shared" si="44"/>
        <v>222871.03567502799</v>
      </c>
      <c r="H761" s="795">
        <f t="shared" si="45"/>
        <v>222871.03567502799</v>
      </c>
      <c r="I761" s="792">
        <f t="shared" si="46"/>
        <v>0</v>
      </c>
      <c r="J761" s="792"/>
      <c r="K761" s="812"/>
      <c r="L761" s="796"/>
      <c r="M761" s="812"/>
      <c r="N761" s="796"/>
      <c r="O761" s="796"/>
    </row>
    <row r="762" spans="3:15">
      <c r="C762" s="788">
        <f>IF(D725="","-",+C761+1)</f>
        <v>2046</v>
      </c>
      <c r="D762" s="736">
        <f t="shared" si="42"/>
        <v>898430.86855262984</v>
      </c>
      <c r="E762" s="789">
        <f t="shared" si="47"/>
        <v>114693.30236842106</v>
      </c>
      <c r="F762" s="736">
        <f t="shared" si="43"/>
        <v>783737.56618420873</v>
      </c>
      <c r="G762" s="794">
        <f t="shared" si="44"/>
        <v>209889.70767823514</v>
      </c>
      <c r="H762" s="795">
        <f t="shared" si="45"/>
        <v>209889.70767823514</v>
      </c>
      <c r="I762" s="792">
        <f t="shared" si="46"/>
        <v>0</v>
      </c>
      <c r="J762" s="792"/>
      <c r="K762" s="812"/>
      <c r="L762" s="796"/>
      <c r="M762" s="812"/>
      <c r="N762" s="796"/>
      <c r="O762" s="796"/>
    </row>
    <row r="763" spans="3:15">
      <c r="C763" s="788">
        <f>IF(D725="","-",+C762+1)</f>
        <v>2047</v>
      </c>
      <c r="D763" s="736">
        <f t="shared" si="42"/>
        <v>783737.56618420873</v>
      </c>
      <c r="E763" s="789">
        <f t="shared" si="47"/>
        <v>114693.30236842106</v>
      </c>
      <c r="F763" s="736">
        <f t="shared" si="43"/>
        <v>669044.26381578762</v>
      </c>
      <c r="G763" s="794">
        <f t="shared" si="44"/>
        <v>196908.37968144228</v>
      </c>
      <c r="H763" s="795">
        <f t="shared" si="45"/>
        <v>196908.37968144228</v>
      </c>
      <c r="I763" s="792">
        <f t="shared" si="46"/>
        <v>0</v>
      </c>
      <c r="J763" s="792"/>
      <c r="K763" s="812"/>
      <c r="L763" s="796"/>
      <c r="M763" s="812"/>
      <c r="N763" s="796"/>
      <c r="O763" s="796"/>
    </row>
    <row r="764" spans="3:15">
      <c r="C764" s="788">
        <f>IF(D725="","-",+C763+1)</f>
        <v>2048</v>
      </c>
      <c r="D764" s="736">
        <f t="shared" si="42"/>
        <v>669044.26381578762</v>
      </c>
      <c r="E764" s="789">
        <f t="shared" si="47"/>
        <v>114693.30236842106</v>
      </c>
      <c r="F764" s="736">
        <f t="shared" si="43"/>
        <v>554350.96144736651</v>
      </c>
      <c r="G764" s="794">
        <f t="shared" si="44"/>
        <v>183927.0516846494</v>
      </c>
      <c r="H764" s="795">
        <f t="shared" si="45"/>
        <v>183927.0516846494</v>
      </c>
      <c r="I764" s="792">
        <f t="shared" si="46"/>
        <v>0</v>
      </c>
      <c r="J764" s="792"/>
      <c r="K764" s="812"/>
      <c r="L764" s="796"/>
      <c r="M764" s="812"/>
      <c r="N764" s="796"/>
      <c r="O764" s="796"/>
    </row>
    <row r="765" spans="3:15">
      <c r="C765" s="788">
        <f>IF(D725="","-",+C764+1)</f>
        <v>2049</v>
      </c>
      <c r="D765" s="736">
        <f t="shared" si="42"/>
        <v>554350.96144736651</v>
      </c>
      <c r="E765" s="789">
        <f t="shared" si="47"/>
        <v>114693.30236842106</v>
      </c>
      <c r="F765" s="736">
        <f t="shared" si="43"/>
        <v>439657.65907894546</v>
      </c>
      <c r="G765" s="794">
        <f t="shared" si="44"/>
        <v>170945.72368785655</v>
      </c>
      <c r="H765" s="795">
        <f t="shared" si="45"/>
        <v>170945.72368785655</v>
      </c>
      <c r="I765" s="792">
        <f t="shared" si="46"/>
        <v>0</v>
      </c>
      <c r="J765" s="792"/>
      <c r="K765" s="812"/>
      <c r="L765" s="796"/>
      <c r="M765" s="812"/>
      <c r="N765" s="796"/>
      <c r="O765" s="796"/>
    </row>
    <row r="766" spans="3:15">
      <c r="C766" s="788">
        <f>IF(D725="","-",+C765+1)</f>
        <v>2050</v>
      </c>
      <c r="D766" s="736">
        <f t="shared" si="42"/>
        <v>439657.65907894546</v>
      </c>
      <c r="E766" s="789">
        <f t="shared" si="47"/>
        <v>114693.30236842106</v>
      </c>
      <c r="F766" s="736">
        <f t="shared" si="43"/>
        <v>324964.35671052441</v>
      </c>
      <c r="G766" s="794">
        <f t="shared" si="44"/>
        <v>157964.39569106369</v>
      </c>
      <c r="H766" s="795">
        <f t="shared" si="45"/>
        <v>157964.39569106369</v>
      </c>
      <c r="I766" s="792">
        <f t="shared" si="46"/>
        <v>0</v>
      </c>
      <c r="J766" s="792"/>
      <c r="K766" s="812"/>
      <c r="L766" s="796"/>
      <c r="M766" s="812"/>
      <c r="N766" s="796"/>
      <c r="O766" s="796"/>
    </row>
    <row r="767" spans="3:15">
      <c r="C767" s="788">
        <f>IF(D725="","-",+C766+1)</f>
        <v>2051</v>
      </c>
      <c r="D767" s="736">
        <f t="shared" si="42"/>
        <v>324964.35671052441</v>
      </c>
      <c r="E767" s="789">
        <f t="shared" si="47"/>
        <v>114693.30236842106</v>
      </c>
      <c r="F767" s="736">
        <f t="shared" si="43"/>
        <v>210271.05434210337</v>
      </c>
      <c r="G767" s="794">
        <f t="shared" si="44"/>
        <v>144983.06769427084</v>
      </c>
      <c r="H767" s="795">
        <f t="shared" si="45"/>
        <v>144983.06769427084</v>
      </c>
      <c r="I767" s="792">
        <f t="shared" si="46"/>
        <v>0</v>
      </c>
      <c r="J767" s="792"/>
      <c r="K767" s="812"/>
      <c r="L767" s="796"/>
      <c r="M767" s="812"/>
      <c r="N767" s="796"/>
      <c r="O767" s="796"/>
    </row>
    <row r="768" spans="3:15">
      <c r="C768" s="788">
        <f>IF(D725="","-",+C767+1)</f>
        <v>2052</v>
      </c>
      <c r="D768" s="736">
        <f t="shared" si="42"/>
        <v>210271.05434210337</v>
      </c>
      <c r="E768" s="789">
        <f t="shared" si="47"/>
        <v>114693.30236842106</v>
      </c>
      <c r="F768" s="736">
        <f t="shared" si="43"/>
        <v>95577.751973682301</v>
      </c>
      <c r="G768" s="794">
        <f t="shared" si="44"/>
        <v>132001.73969747798</v>
      </c>
      <c r="H768" s="795">
        <f t="shared" si="45"/>
        <v>132001.73969747798</v>
      </c>
      <c r="I768" s="792">
        <f t="shared" si="46"/>
        <v>0</v>
      </c>
      <c r="J768" s="792"/>
      <c r="K768" s="812"/>
      <c r="L768" s="796"/>
      <c r="M768" s="812"/>
      <c r="N768" s="796"/>
      <c r="O768" s="796"/>
    </row>
    <row r="769" spans="3:15">
      <c r="C769" s="788">
        <f>IF(D725="","-",+C768+1)</f>
        <v>2053</v>
      </c>
      <c r="D769" s="736">
        <f t="shared" si="42"/>
        <v>95577.751973682301</v>
      </c>
      <c r="E769" s="789">
        <f t="shared" si="47"/>
        <v>95577.751973682301</v>
      </c>
      <c r="F769" s="736">
        <f t="shared" si="43"/>
        <v>0</v>
      </c>
      <c r="G769" s="794">
        <f t="shared" si="44"/>
        <v>100986.63863901256</v>
      </c>
      <c r="H769" s="795">
        <f t="shared" si="45"/>
        <v>100986.63863901256</v>
      </c>
      <c r="I769" s="792">
        <f t="shared" si="46"/>
        <v>0</v>
      </c>
      <c r="J769" s="792"/>
      <c r="K769" s="812"/>
      <c r="L769" s="796"/>
      <c r="M769" s="812"/>
      <c r="N769" s="796"/>
      <c r="O769" s="796"/>
    </row>
    <row r="770" spans="3:15">
      <c r="C770" s="788">
        <f>IF(D725="","-",+C769+1)</f>
        <v>2054</v>
      </c>
      <c r="D770" s="736">
        <f t="shared" si="42"/>
        <v>0</v>
      </c>
      <c r="E770" s="789">
        <f t="shared" si="47"/>
        <v>0</v>
      </c>
      <c r="F770" s="736">
        <f t="shared" si="43"/>
        <v>0</v>
      </c>
      <c r="G770" s="794">
        <f t="shared" si="44"/>
        <v>0</v>
      </c>
      <c r="H770" s="795">
        <f t="shared" si="45"/>
        <v>0</v>
      </c>
      <c r="I770" s="792">
        <f t="shared" si="46"/>
        <v>0</v>
      </c>
      <c r="J770" s="792"/>
      <c r="K770" s="812"/>
      <c r="L770" s="796"/>
      <c r="M770" s="812"/>
      <c r="N770" s="796"/>
      <c r="O770" s="796"/>
    </row>
    <row r="771" spans="3:15">
      <c r="C771" s="788">
        <f>IF(D725="","-",+C770+1)</f>
        <v>2055</v>
      </c>
      <c r="D771" s="736">
        <f t="shared" si="42"/>
        <v>0</v>
      </c>
      <c r="E771" s="789">
        <f t="shared" si="47"/>
        <v>0</v>
      </c>
      <c r="F771" s="736">
        <f t="shared" si="43"/>
        <v>0</v>
      </c>
      <c r="G771" s="794">
        <f t="shared" si="44"/>
        <v>0</v>
      </c>
      <c r="H771" s="795">
        <f t="shared" si="45"/>
        <v>0</v>
      </c>
      <c r="I771" s="792">
        <f t="shared" si="46"/>
        <v>0</v>
      </c>
      <c r="J771" s="792"/>
      <c r="K771" s="812"/>
      <c r="L771" s="796"/>
      <c r="M771" s="812"/>
      <c r="N771" s="796"/>
      <c r="O771" s="796"/>
    </row>
    <row r="772" spans="3:15">
      <c r="C772" s="788">
        <f>IF(D725="","-",+C771+1)</f>
        <v>2056</v>
      </c>
      <c r="D772" s="736">
        <f t="shared" si="42"/>
        <v>0</v>
      </c>
      <c r="E772" s="789">
        <f t="shared" si="47"/>
        <v>0</v>
      </c>
      <c r="F772" s="736">
        <f t="shared" si="43"/>
        <v>0</v>
      </c>
      <c r="G772" s="794">
        <f t="shared" si="44"/>
        <v>0</v>
      </c>
      <c r="H772" s="795">
        <f t="shared" si="45"/>
        <v>0</v>
      </c>
      <c r="I772" s="792">
        <f t="shared" si="46"/>
        <v>0</v>
      </c>
      <c r="J772" s="792"/>
      <c r="K772" s="812"/>
      <c r="L772" s="796"/>
      <c r="M772" s="812"/>
      <c r="N772" s="796"/>
      <c r="O772" s="796"/>
    </row>
    <row r="773" spans="3:15">
      <c r="C773" s="788">
        <f>IF(D725="","-",+C772+1)</f>
        <v>2057</v>
      </c>
      <c r="D773" s="736">
        <f t="shared" si="42"/>
        <v>0</v>
      </c>
      <c r="E773" s="789">
        <f t="shared" si="47"/>
        <v>0</v>
      </c>
      <c r="F773" s="736">
        <f t="shared" si="43"/>
        <v>0</v>
      </c>
      <c r="G773" s="794">
        <f t="shared" si="44"/>
        <v>0</v>
      </c>
      <c r="H773" s="795">
        <f t="shared" si="45"/>
        <v>0</v>
      </c>
      <c r="I773" s="792">
        <f t="shared" si="46"/>
        <v>0</v>
      </c>
      <c r="J773" s="792"/>
      <c r="K773" s="812"/>
      <c r="L773" s="796"/>
      <c r="M773" s="812"/>
      <c r="N773" s="796"/>
      <c r="O773" s="796"/>
    </row>
    <row r="774" spans="3:15">
      <c r="C774" s="788">
        <f>IF(D725="","-",+C773+1)</f>
        <v>2058</v>
      </c>
      <c r="D774" s="736">
        <f t="shared" si="42"/>
        <v>0</v>
      </c>
      <c r="E774" s="789">
        <f t="shared" si="47"/>
        <v>0</v>
      </c>
      <c r="F774" s="736">
        <f t="shared" si="43"/>
        <v>0</v>
      </c>
      <c r="G774" s="794">
        <f t="shared" si="44"/>
        <v>0</v>
      </c>
      <c r="H774" s="795">
        <f t="shared" si="45"/>
        <v>0</v>
      </c>
      <c r="I774" s="792">
        <f t="shared" si="46"/>
        <v>0</v>
      </c>
      <c r="J774" s="792"/>
      <c r="K774" s="812"/>
      <c r="L774" s="796"/>
      <c r="M774" s="812"/>
      <c r="N774" s="796"/>
      <c r="O774" s="796"/>
    </row>
    <row r="775" spans="3:15">
      <c r="C775" s="788">
        <f>IF(D725="","-",+C774+1)</f>
        <v>2059</v>
      </c>
      <c r="D775" s="736">
        <f t="shared" si="42"/>
        <v>0</v>
      </c>
      <c r="E775" s="789">
        <f t="shared" si="47"/>
        <v>0</v>
      </c>
      <c r="F775" s="736">
        <f t="shared" si="43"/>
        <v>0</v>
      </c>
      <c r="G775" s="794">
        <f t="shared" si="44"/>
        <v>0</v>
      </c>
      <c r="H775" s="795">
        <f t="shared" si="45"/>
        <v>0</v>
      </c>
      <c r="I775" s="792">
        <f t="shared" si="46"/>
        <v>0</v>
      </c>
      <c r="J775" s="792"/>
      <c r="K775" s="812"/>
      <c r="L775" s="796"/>
      <c r="M775" s="812"/>
      <c r="N775" s="796"/>
      <c r="O775" s="796"/>
    </row>
    <row r="776" spans="3:15">
      <c r="C776" s="788">
        <f>IF(D725="","-",+C775+1)</f>
        <v>2060</v>
      </c>
      <c r="D776" s="736">
        <f t="shared" si="42"/>
        <v>0</v>
      </c>
      <c r="E776" s="789">
        <f t="shared" si="47"/>
        <v>0</v>
      </c>
      <c r="F776" s="736">
        <f t="shared" si="43"/>
        <v>0</v>
      </c>
      <c r="G776" s="794">
        <f t="shared" si="44"/>
        <v>0</v>
      </c>
      <c r="H776" s="795">
        <f t="shared" si="45"/>
        <v>0</v>
      </c>
      <c r="I776" s="792">
        <f t="shared" si="46"/>
        <v>0</v>
      </c>
      <c r="J776" s="792"/>
      <c r="K776" s="812"/>
      <c r="L776" s="796"/>
      <c r="M776" s="812"/>
      <c r="N776" s="796"/>
      <c r="O776" s="796"/>
    </row>
    <row r="777" spans="3:15">
      <c r="C777" s="788">
        <f>IF(D725="","-",+C776+1)</f>
        <v>2061</v>
      </c>
      <c r="D777" s="736">
        <f t="shared" si="42"/>
        <v>0</v>
      </c>
      <c r="E777" s="789">
        <f t="shared" si="47"/>
        <v>0</v>
      </c>
      <c r="F777" s="736">
        <f t="shared" si="43"/>
        <v>0</v>
      </c>
      <c r="G777" s="794">
        <f t="shared" si="44"/>
        <v>0</v>
      </c>
      <c r="H777" s="795">
        <f t="shared" si="45"/>
        <v>0</v>
      </c>
      <c r="I777" s="792">
        <f t="shared" si="46"/>
        <v>0</v>
      </c>
      <c r="J777" s="792"/>
      <c r="K777" s="812"/>
      <c r="L777" s="796"/>
      <c r="M777" s="812"/>
      <c r="N777" s="796"/>
      <c r="O777" s="796"/>
    </row>
    <row r="778" spans="3:15">
      <c r="C778" s="788">
        <f>IF(D725="","-",+C777+1)</f>
        <v>2062</v>
      </c>
      <c r="D778" s="736">
        <f t="shared" si="42"/>
        <v>0</v>
      </c>
      <c r="E778" s="789">
        <f t="shared" si="47"/>
        <v>0</v>
      </c>
      <c r="F778" s="736">
        <f t="shared" si="43"/>
        <v>0</v>
      </c>
      <c r="G778" s="794">
        <f t="shared" si="44"/>
        <v>0</v>
      </c>
      <c r="H778" s="795">
        <f t="shared" si="45"/>
        <v>0</v>
      </c>
      <c r="I778" s="792">
        <f t="shared" si="46"/>
        <v>0</v>
      </c>
      <c r="J778" s="792"/>
      <c r="K778" s="812"/>
      <c r="L778" s="796"/>
      <c r="M778" s="812"/>
      <c r="N778" s="796"/>
      <c r="O778" s="796"/>
    </row>
    <row r="779" spans="3:15">
      <c r="C779" s="788">
        <f>IF(D725="","-",+C778+1)</f>
        <v>2063</v>
      </c>
      <c r="D779" s="736">
        <f t="shared" si="42"/>
        <v>0</v>
      </c>
      <c r="E779" s="789">
        <f t="shared" si="47"/>
        <v>0</v>
      </c>
      <c r="F779" s="736">
        <f t="shared" si="43"/>
        <v>0</v>
      </c>
      <c r="G779" s="794">
        <f t="shared" si="44"/>
        <v>0</v>
      </c>
      <c r="H779" s="795">
        <f t="shared" si="45"/>
        <v>0</v>
      </c>
      <c r="I779" s="792">
        <f t="shared" si="46"/>
        <v>0</v>
      </c>
      <c r="J779" s="792"/>
      <c r="K779" s="812"/>
      <c r="L779" s="796"/>
      <c r="M779" s="812"/>
      <c r="N779" s="796"/>
      <c r="O779" s="796"/>
    </row>
    <row r="780" spans="3:15">
      <c r="C780" s="788">
        <f>IF(D725="","-",+C779+1)</f>
        <v>2064</v>
      </c>
      <c r="D780" s="736">
        <f t="shared" si="42"/>
        <v>0</v>
      </c>
      <c r="E780" s="789">
        <f t="shared" si="47"/>
        <v>0</v>
      </c>
      <c r="F780" s="736">
        <f t="shared" si="43"/>
        <v>0</v>
      </c>
      <c r="G780" s="794">
        <f t="shared" si="44"/>
        <v>0</v>
      </c>
      <c r="H780" s="795">
        <f t="shared" si="45"/>
        <v>0</v>
      </c>
      <c r="I780" s="792">
        <f t="shared" si="46"/>
        <v>0</v>
      </c>
      <c r="J780" s="792"/>
      <c r="K780" s="812"/>
      <c r="L780" s="796"/>
      <c r="M780" s="812"/>
      <c r="N780" s="796"/>
      <c r="O780" s="796"/>
    </row>
    <row r="781" spans="3:15">
      <c r="C781" s="788">
        <f>IF(D725="","-",+C780+1)</f>
        <v>2065</v>
      </c>
      <c r="D781" s="736">
        <f t="shared" si="42"/>
        <v>0</v>
      </c>
      <c r="E781" s="789">
        <f t="shared" si="47"/>
        <v>0</v>
      </c>
      <c r="F781" s="736">
        <f t="shared" si="43"/>
        <v>0</v>
      </c>
      <c r="G781" s="794">
        <f t="shared" si="44"/>
        <v>0</v>
      </c>
      <c r="H781" s="795">
        <f t="shared" si="45"/>
        <v>0</v>
      </c>
      <c r="I781" s="792">
        <f t="shared" si="46"/>
        <v>0</v>
      </c>
      <c r="J781" s="792"/>
      <c r="K781" s="812"/>
      <c r="L781" s="796"/>
      <c r="M781" s="812"/>
      <c r="N781" s="796"/>
      <c r="O781" s="796"/>
    </row>
    <row r="782" spans="3:15">
      <c r="C782" s="788">
        <f>IF(D725="","-",+C781+1)</f>
        <v>2066</v>
      </c>
      <c r="D782" s="736">
        <f t="shared" si="42"/>
        <v>0</v>
      </c>
      <c r="E782" s="789">
        <f t="shared" si="47"/>
        <v>0</v>
      </c>
      <c r="F782" s="736">
        <f t="shared" si="43"/>
        <v>0</v>
      </c>
      <c r="G782" s="794">
        <f t="shared" si="44"/>
        <v>0</v>
      </c>
      <c r="H782" s="795">
        <f t="shared" si="45"/>
        <v>0</v>
      </c>
      <c r="I782" s="792">
        <f t="shared" si="46"/>
        <v>0</v>
      </c>
      <c r="J782" s="792"/>
      <c r="K782" s="812"/>
      <c r="L782" s="796"/>
      <c r="M782" s="812"/>
      <c r="N782" s="796"/>
      <c r="O782" s="796"/>
    </row>
    <row r="783" spans="3:15">
      <c r="C783" s="788">
        <f>IF(D725="","-",+C782+1)</f>
        <v>2067</v>
      </c>
      <c r="D783" s="736">
        <f t="shared" si="42"/>
        <v>0</v>
      </c>
      <c r="E783" s="789">
        <f t="shared" si="47"/>
        <v>0</v>
      </c>
      <c r="F783" s="736">
        <f t="shared" si="43"/>
        <v>0</v>
      </c>
      <c r="G783" s="794">
        <f t="shared" si="44"/>
        <v>0</v>
      </c>
      <c r="H783" s="795">
        <f t="shared" si="45"/>
        <v>0</v>
      </c>
      <c r="I783" s="792">
        <f t="shared" si="46"/>
        <v>0</v>
      </c>
      <c r="J783" s="792"/>
      <c r="K783" s="812"/>
      <c r="L783" s="796"/>
      <c r="M783" s="812"/>
      <c r="N783" s="796"/>
      <c r="O783" s="796"/>
    </row>
    <row r="784" spans="3:15">
      <c r="C784" s="788">
        <f>IF(D725="","-",+C783+1)</f>
        <v>2068</v>
      </c>
      <c r="D784" s="736">
        <f t="shared" si="42"/>
        <v>0</v>
      </c>
      <c r="E784" s="789">
        <f t="shared" si="47"/>
        <v>0</v>
      </c>
      <c r="F784" s="736">
        <f t="shared" si="43"/>
        <v>0</v>
      </c>
      <c r="G784" s="794">
        <f t="shared" si="44"/>
        <v>0</v>
      </c>
      <c r="H784" s="795">
        <f t="shared" si="45"/>
        <v>0</v>
      </c>
      <c r="I784" s="792">
        <f t="shared" si="46"/>
        <v>0</v>
      </c>
      <c r="J784" s="792"/>
      <c r="K784" s="812"/>
      <c r="L784" s="796"/>
      <c r="M784" s="812"/>
      <c r="N784" s="796"/>
      <c r="O784" s="796"/>
    </row>
    <row r="785" spans="3:15">
      <c r="C785" s="788">
        <f>IF(D725="","-",+C784+1)</f>
        <v>2069</v>
      </c>
      <c r="D785" s="736">
        <f t="shared" si="42"/>
        <v>0</v>
      </c>
      <c r="E785" s="789">
        <f t="shared" si="47"/>
        <v>0</v>
      </c>
      <c r="F785" s="736">
        <f t="shared" si="43"/>
        <v>0</v>
      </c>
      <c r="G785" s="794">
        <f t="shared" si="44"/>
        <v>0</v>
      </c>
      <c r="H785" s="795">
        <f t="shared" si="45"/>
        <v>0</v>
      </c>
      <c r="I785" s="792">
        <f t="shared" si="46"/>
        <v>0</v>
      </c>
      <c r="J785" s="792"/>
      <c r="K785" s="812"/>
      <c r="L785" s="796"/>
      <c r="M785" s="812"/>
      <c r="N785" s="796"/>
      <c r="O785" s="796"/>
    </row>
    <row r="786" spans="3:15">
      <c r="C786" s="788">
        <f>IF(D725="","-",+C785+1)</f>
        <v>2070</v>
      </c>
      <c r="D786" s="736">
        <f t="shared" si="42"/>
        <v>0</v>
      </c>
      <c r="E786" s="789">
        <f t="shared" si="47"/>
        <v>0</v>
      </c>
      <c r="F786" s="736">
        <f t="shared" si="43"/>
        <v>0</v>
      </c>
      <c r="G786" s="794">
        <f t="shared" si="44"/>
        <v>0</v>
      </c>
      <c r="H786" s="795">
        <f t="shared" si="45"/>
        <v>0</v>
      </c>
      <c r="I786" s="792">
        <f t="shared" si="46"/>
        <v>0</v>
      </c>
      <c r="J786" s="792"/>
      <c r="K786" s="812"/>
      <c r="L786" s="796"/>
      <c r="M786" s="812"/>
      <c r="N786" s="796"/>
      <c r="O786" s="796"/>
    </row>
    <row r="787" spans="3:15">
      <c r="C787" s="788">
        <f>IF(D725="","-",+C786+1)</f>
        <v>2071</v>
      </c>
      <c r="D787" s="736">
        <f t="shared" si="42"/>
        <v>0</v>
      </c>
      <c r="E787" s="789">
        <f t="shared" si="47"/>
        <v>0</v>
      </c>
      <c r="F787" s="736">
        <f t="shared" si="43"/>
        <v>0</v>
      </c>
      <c r="G787" s="794">
        <f t="shared" si="44"/>
        <v>0</v>
      </c>
      <c r="H787" s="795">
        <f t="shared" si="45"/>
        <v>0</v>
      </c>
      <c r="I787" s="792">
        <f t="shared" si="46"/>
        <v>0</v>
      </c>
      <c r="J787" s="792"/>
      <c r="K787" s="812"/>
      <c r="L787" s="796"/>
      <c r="M787" s="812"/>
      <c r="N787" s="796"/>
      <c r="O787" s="796"/>
    </row>
    <row r="788" spans="3:15">
      <c r="C788" s="788">
        <f>IF(D725="","-",+C787+1)</f>
        <v>2072</v>
      </c>
      <c r="D788" s="736">
        <f t="shared" si="42"/>
        <v>0</v>
      </c>
      <c r="E788" s="789">
        <f t="shared" si="47"/>
        <v>0</v>
      </c>
      <c r="F788" s="736">
        <f t="shared" si="43"/>
        <v>0</v>
      </c>
      <c r="G788" s="794">
        <f t="shared" si="44"/>
        <v>0</v>
      </c>
      <c r="H788" s="795">
        <f t="shared" si="45"/>
        <v>0</v>
      </c>
      <c r="I788" s="792">
        <f t="shared" si="46"/>
        <v>0</v>
      </c>
      <c r="J788" s="792"/>
      <c r="K788" s="812"/>
      <c r="L788" s="796"/>
      <c r="M788" s="812"/>
      <c r="N788" s="796"/>
      <c r="O788" s="796"/>
    </row>
    <row r="789" spans="3:15">
      <c r="C789" s="788">
        <f>IF(D725="","-",+C788+1)</f>
        <v>2073</v>
      </c>
      <c r="D789" s="736">
        <f t="shared" si="42"/>
        <v>0</v>
      </c>
      <c r="E789" s="789">
        <f t="shared" si="47"/>
        <v>0</v>
      </c>
      <c r="F789" s="736">
        <f t="shared" si="43"/>
        <v>0</v>
      </c>
      <c r="G789" s="794">
        <f t="shared" si="44"/>
        <v>0</v>
      </c>
      <c r="H789" s="795">
        <f t="shared" si="45"/>
        <v>0</v>
      </c>
      <c r="I789" s="792">
        <f t="shared" si="46"/>
        <v>0</v>
      </c>
      <c r="J789" s="792"/>
      <c r="K789" s="812"/>
      <c r="L789" s="796"/>
      <c r="M789" s="812"/>
      <c r="N789" s="796"/>
      <c r="O789" s="796"/>
    </row>
    <row r="790" spans="3:15" ht="13.5" thickBot="1">
      <c r="C790" s="798">
        <f>IF(D725="","-",+C789+1)</f>
        <v>2074</v>
      </c>
      <c r="D790" s="799">
        <f t="shared" si="42"/>
        <v>0</v>
      </c>
      <c r="E790" s="800">
        <f t="shared" si="47"/>
        <v>0</v>
      </c>
      <c r="F790" s="799">
        <f t="shared" si="43"/>
        <v>0</v>
      </c>
      <c r="G790" s="801">
        <f t="shared" si="44"/>
        <v>0</v>
      </c>
      <c r="H790" s="801">
        <f t="shared" si="45"/>
        <v>0</v>
      </c>
      <c r="I790" s="802">
        <f t="shared" si="46"/>
        <v>0</v>
      </c>
      <c r="J790" s="792"/>
      <c r="K790" s="813"/>
      <c r="L790" s="803"/>
      <c r="M790" s="813"/>
      <c r="N790" s="803"/>
      <c r="O790" s="803"/>
    </row>
    <row r="791" spans="3:15">
      <c r="C791" s="736" t="s">
        <v>83</v>
      </c>
      <c r="D791" s="730"/>
      <c r="E791" s="730">
        <f>SUM(E731:E790)</f>
        <v>4358345.4899999993</v>
      </c>
      <c r="F791" s="730"/>
      <c r="G791" s="730">
        <f>SUM(G731:G790)</f>
        <v>14141939.690249542</v>
      </c>
      <c r="H791" s="730">
        <f>SUM(H731:H790)</f>
        <v>14141939.690249542</v>
      </c>
      <c r="I791" s="730">
        <f>SUM(I731:I790)</f>
        <v>0</v>
      </c>
      <c r="J791" s="730"/>
      <c r="K791" s="730"/>
      <c r="L791" s="730"/>
      <c r="M791" s="730"/>
      <c r="N791" s="730"/>
      <c r="O791" s="314"/>
    </row>
    <row r="792" spans="3:15">
      <c r="D792" s="538"/>
      <c r="E792" s="314"/>
      <c r="F792" s="314"/>
      <c r="G792" s="314"/>
      <c r="H792" s="708"/>
      <c r="I792" s="708"/>
      <c r="J792" s="730"/>
      <c r="K792" s="708"/>
      <c r="L792" s="708"/>
      <c r="M792" s="708"/>
      <c r="N792" s="708"/>
      <c r="O792" s="314"/>
    </row>
    <row r="793" spans="3:15">
      <c r="C793" s="314" t="s">
        <v>13</v>
      </c>
      <c r="D793" s="538"/>
      <c r="E793" s="314"/>
      <c r="F793" s="314"/>
      <c r="G793" s="314"/>
      <c r="H793" s="708"/>
      <c r="I793" s="708"/>
      <c r="J793" s="730"/>
      <c r="K793" s="708"/>
      <c r="L793" s="708"/>
      <c r="M793" s="708"/>
      <c r="N793" s="708"/>
      <c r="O793" s="314"/>
    </row>
    <row r="794" spans="3:15">
      <c r="C794" s="314"/>
      <c r="D794" s="538"/>
      <c r="E794" s="314"/>
      <c r="F794" s="314"/>
      <c r="G794" s="314"/>
      <c r="H794" s="708"/>
      <c r="I794" s="708"/>
      <c r="J794" s="730"/>
      <c r="K794" s="708"/>
      <c r="L794" s="708"/>
      <c r="M794" s="708"/>
      <c r="N794" s="708"/>
      <c r="O794" s="314"/>
    </row>
    <row r="795" spans="3:15">
      <c r="C795" s="749" t="s">
        <v>14</v>
      </c>
      <c r="D795" s="736"/>
      <c r="E795" s="736"/>
      <c r="F795" s="736"/>
      <c r="G795" s="730"/>
      <c r="H795" s="730"/>
      <c r="I795" s="804"/>
      <c r="J795" s="804"/>
      <c r="K795" s="804"/>
      <c r="L795" s="804"/>
      <c r="M795" s="804"/>
      <c r="N795" s="804"/>
      <c r="O795" s="314"/>
    </row>
    <row r="796" spans="3:15">
      <c r="C796" s="735" t="s">
        <v>263</v>
      </c>
      <c r="D796" s="736"/>
      <c r="E796" s="736"/>
      <c r="F796" s="736"/>
      <c r="G796" s="730"/>
      <c r="H796" s="730"/>
      <c r="I796" s="804"/>
      <c r="J796" s="804"/>
      <c r="K796" s="804"/>
      <c r="L796" s="804"/>
      <c r="M796" s="804"/>
      <c r="N796" s="804"/>
      <c r="O796" s="314"/>
    </row>
    <row r="797" spans="3:15">
      <c r="C797" s="735" t="s">
        <v>84</v>
      </c>
      <c r="D797" s="736"/>
      <c r="E797" s="736"/>
      <c r="F797" s="736"/>
      <c r="G797" s="730"/>
      <c r="H797" s="730"/>
      <c r="I797" s="804"/>
      <c r="J797" s="804"/>
      <c r="K797" s="804"/>
      <c r="L797" s="804"/>
      <c r="M797" s="804"/>
      <c r="N797" s="804"/>
      <c r="O797" s="314"/>
    </row>
    <row r="798" spans="3:15">
      <c r="C798" s="735"/>
      <c r="D798" s="736"/>
      <c r="E798" s="736"/>
      <c r="F798" s="736"/>
      <c r="G798" s="730"/>
      <c r="H798" s="730"/>
      <c r="I798" s="804"/>
      <c r="J798" s="804"/>
      <c r="K798" s="804"/>
      <c r="L798" s="804"/>
      <c r="M798" s="804"/>
      <c r="N798" s="804"/>
      <c r="O798" s="314"/>
    </row>
    <row r="799" spans="3:15">
      <c r="C799" s="1526" t="s">
        <v>6</v>
      </c>
      <c r="D799" s="1526"/>
      <c r="E799" s="1526"/>
      <c r="F799" s="1526"/>
      <c r="G799" s="1526"/>
      <c r="H799" s="1526"/>
      <c r="I799" s="1526"/>
      <c r="J799" s="1526"/>
      <c r="K799" s="1526"/>
      <c r="L799" s="1526"/>
      <c r="M799" s="1526"/>
      <c r="N799" s="1526"/>
      <c r="O799" s="1526"/>
    </row>
    <row r="800" spans="3:15">
      <c r="C800" s="1526"/>
      <c r="D800" s="1526"/>
      <c r="E800" s="1526"/>
      <c r="F800" s="1526"/>
      <c r="G800" s="1526"/>
      <c r="H800" s="1526"/>
      <c r="I800" s="1526"/>
      <c r="J800" s="1526"/>
      <c r="K800" s="1526"/>
      <c r="L800" s="1526"/>
      <c r="M800" s="1526"/>
      <c r="N800" s="1526"/>
      <c r="O800" s="1526"/>
    </row>
    <row r="801" spans="1:16">
      <c r="C801" s="735"/>
      <c r="D801" s="736"/>
      <c r="E801" s="736"/>
      <c r="F801" s="736"/>
      <c r="G801" s="730"/>
      <c r="H801" s="730"/>
    </row>
    <row r="802" spans="1:16" ht="20.25">
      <c r="A802" s="737" t="str">
        <f>""&amp;A726&amp;" Worksheet J -  ATRR PROJECTED Calculation for PJM Projects Charged to Benefiting Zones"</f>
        <v xml:space="preserve"> Worksheet J -  ATRR PROJECTED Calculation for PJM Projects Charged to Benefiting Zones</v>
      </c>
      <c r="B802" s="348"/>
      <c r="C802" s="725"/>
      <c r="D802" s="538"/>
      <c r="E802" s="314"/>
      <c r="F802" s="707"/>
      <c r="G802" s="314"/>
      <c r="H802" s="708"/>
      <c r="K802" s="564"/>
      <c r="L802" s="564"/>
      <c r="M802" s="564"/>
      <c r="N802" s="653" t="str">
        <f>"Page "&amp;SUM(P$8:P802)&amp;" of "</f>
        <v xml:space="preserve">Page 10 of </v>
      </c>
      <c r="O802" s="654">
        <f>COUNT(P$8:P$56653)</f>
        <v>12</v>
      </c>
      <c r="P802" s="738">
        <v>1</v>
      </c>
    </row>
    <row r="803" spans="1:16">
      <c r="B803" s="348"/>
      <c r="C803" s="314"/>
      <c r="D803" s="538"/>
      <c r="E803" s="314"/>
      <c r="F803" s="314"/>
      <c r="G803" s="314"/>
      <c r="H803" s="708"/>
      <c r="I803" s="314"/>
      <c r="J803" s="427"/>
      <c r="K803" s="314"/>
      <c r="L803" s="314"/>
      <c r="M803" s="314"/>
      <c r="N803" s="314"/>
      <c r="O803" s="314"/>
      <c r="P803" s="427"/>
    </row>
    <row r="804" spans="1:16" ht="18">
      <c r="B804" s="657" t="s">
        <v>464</v>
      </c>
      <c r="C804" s="739" t="s">
        <v>85</v>
      </c>
      <c r="D804" s="538"/>
      <c r="E804" s="314"/>
      <c r="F804" s="314"/>
      <c r="G804" s="314"/>
      <c r="H804" s="708"/>
      <c r="I804" s="708"/>
      <c r="J804" s="730"/>
      <c r="K804" s="708"/>
      <c r="L804" s="708"/>
      <c r="M804" s="708"/>
      <c r="N804" s="708"/>
      <c r="O804" s="314"/>
    </row>
    <row r="805" spans="1:16" ht="18.75">
      <c r="B805" s="657"/>
      <c r="C805" s="656"/>
      <c r="D805" s="538"/>
      <c r="E805" s="314"/>
      <c r="F805" s="314"/>
      <c r="G805" s="314"/>
      <c r="H805" s="708"/>
      <c r="I805" s="708"/>
      <c r="J805" s="730"/>
      <c r="K805" s="708"/>
      <c r="L805" s="708"/>
      <c r="M805" s="708"/>
      <c r="N805" s="708"/>
      <c r="O805" s="314"/>
    </row>
    <row r="806" spans="1:16" ht="18.75">
      <c r="B806" s="657"/>
      <c r="C806" s="656" t="s">
        <v>86</v>
      </c>
      <c r="D806" s="538"/>
      <c r="E806" s="314"/>
      <c r="F806" s="314"/>
      <c r="G806" s="314"/>
      <c r="H806" s="708"/>
      <c r="I806" s="708"/>
      <c r="J806" s="730"/>
      <c r="K806" s="708"/>
      <c r="L806" s="708"/>
      <c r="M806" s="708"/>
      <c r="N806" s="708"/>
      <c r="O806" s="314"/>
    </row>
    <row r="807" spans="1:16" ht="15.75" thickBot="1">
      <c r="C807" s="240"/>
      <c r="D807" s="538"/>
      <c r="E807" s="314"/>
      <c r="F807" s="314"/>
      <c r="G807" s="314"/>
      <c r="H807" s="708"/>
      <c r="I807" s="708"/>
      <c r="J807" s="730"/>
      <c r="K807" s="708"/>
      <c r="L807" s="708"/>
      <c r="M807" s="708"/>
      <c r="N807" s="708"/>
      <c r="O807" s="314"/>
    </row>
    <row r="808" spans="1:16" ht="15.75">
      <c r="C808" s="659" t="s">
        <v>87</v>
      </c>
      <c r="D808" s="538"/>
      <c r="E808" s="314"/>
      <c r="F808" s="314"/>
      <c r="G808" s="806"/>
      <c r="H808" s="314" t="s">
        <v>66</v>
      </c>
      <c r="I808" s="314"/>
      <c r="J808" s="427"/>
      <c r="K808" s="740" t="s">
        <v>91</v>
      </c>
      <c r="L808" s="741"/>
      <c r="M808" s="742"/>
      <c r="N808" s="743">
        <f>IF(I814=0,0,VLOOKUP(I814,C821:O880,5))</f>
        <v>8158490.13116608</v>
      </c>
      <c r="O808" s="314"/>
    </row>
    <row r="809" spans="1:16" ht="15.75">
      <c r="C809" s="659"/>
      <c r="D809" s="538"/>
      <c r="E809" s="314"/>
      <c r="F809" s="314"/>
      <c r="G809" s="314"/>
      <c r="H809" s="744"/>
      <c r="I809" s="744"/>
      <c r="J809" s="745"/>
      <c r="K809" s="746" t="s">
        <v>92</v>
      </c>
      <c r="L809" s="747"/>
      <c r="M809" s="427"/>
      <c r="N809" s="748">
        <f>IF(I814=0,0,VLOOKUP(I814,C821:O880,6))</f>
        <v>8158490.13116608</v>
      </c>
      <c r="O809" s="314"/>
    </row>
    <row r="810" spans="1:16" ht="13.5" thickBot="1">
      <c r="C810" s="749" t="s">
        <v>88</v>
      </c>
      <c r="D810" s="1527" t="s">
        <v>818</v>
      </c>
      <c r="E810" s="1527"/>
      <c r="F810" s="1527"/>
      <c r="G810" s="1527"/>
      <c r="H810" s="1527"/>
      <c r="I810" s="1527"/>
      <c r="J810" s="730"/>
      <c r="K810" s="750" t="s">
        <v>230</v>
      </c>
      <c r="L810" s="751"/>
      <c r="M810" s="751"/>
      <c r="N810" s="752">
        <f>+N809-N808</f>
        <v>0</v>
      </c>
      <c r="O810" s="314"/>
    </row>
    <row r="811" spans="1:16">
      <c r="C811" s="753"/>
      <c r="D811" s="754"/>
      <c r="E811" s="734"/>
      <c r="F811" s="734"/>
      <c r="G811" s="755"/>
      <c r="H811" s="708"/>
      <c r="I811" s="708"/>
      <c r="J811" s="730"/>
      <c r="K811" s="708"/>
      <c r="L811" s="708"/>
      <c r="M811" s="708"/>
      <c r="N811" s="708"/>
      <c r="O811" s="314"/>
    </row>
    <row r="812" spans="1:16" ht="13.5" thickBot="1">
      <c r="C812" s="756"/>
      <c r="D812" s="757"/>
      <c r="E812" s="755"/>
      <c r="F812" s="755"/>
      <c r="G812" s="755"/>
      <c r="H812" s="755"/>
      <c r="I812" s="755"/>
      <c r="J812" s="758"/>
      <c r="K812" s="755"/>
      <c r="L812" s="755"/>
      <c r="M812" s="755"/>
      <c r="N812" s="755"/>
      <c r="O812" s="348"/>
    </row>
    <row r="813" spans="1:16" ht="13.5" thickBot="1">
      <c r="C813" s="759" t="s">
        <v>89</v>
      </c>
      <c r="D813" s="760"/>
      <c r="E813" s="760"/>
      <c r="F813" s="760"/>
      <c r="G813" s="760"/>
      <c r="H813" s="760"/>
      <c r="I813" s="761"/>
      <c r="J813" s="762"/>
      <c r="K813" s="314"/>
      <c r="L813" s="314"/>
      <c r="M813" s="314"/>
      <c r="N813" s="314"/>
      <c r="O813" s="763"/>
    </row>
    <row r="814" spans="1:16" ht="15">
      <c r="C814" s="764" t="s">
        <v>67</v>
      </c>
      <c r="D814" s="808">
        <v>75907131.959999993</v>
      </c>
      <c r="E814" s="725" t="s">
        <v>68</v>
      </c>
      <c r="G814" s="765"/>
      <c r="H814" s="765"/>
      <c r="I814" s="766">
        <f>$L$26</f>
        <v>2025</v>
      </c>
      <c r="J814" s="554"/>
      <c r="K814" s="1528" t="s">
        <v>239</v>
      </c>
      <c r="L814" s="1528"/>
      <c r="M814" s="1528"/>
      <c r="N814" s="1528"/>
      <c r="O814" s="1528"/>
    </row>
    <row r="815" spans="1:16">
      <c r="C815" s="764" t="s">
        <v>70</v>
      </c>
      <c r="D815" s="809">
        <v>2014</v>
      </c>
      <c r="E815" s="764" t="s">
        <v>71</v>
      </c>
      <c r="F815" s="765"/>
      <c r="H815" s="173"/>
      <c r="I815" s="810">
        <f>IF(G808="",0,$F$17)</f>
        <v>0</v>
      </c>
      <c r="J815" s="767"/>
      <c r="K815" s="730" t="s">
        <v>239</v>
      </c>
    </row>
    <row r="816" spans="1:16">
      <c r="C816" s="764" t="s">
        <v>72</v>
      </c>
      <c r="D816" s="808">
        <v>9</v>
      </c>
      <c r="E816" s="764" t="s">
        <v>73</v>
      </c>
      <c r="F816" s="765"/>
      <c r="H816" s="173"/>
      <c r="I816" s="768">
        <f>$G$70</f>
        <v>0.11318296473052861</v>
      </c>
      <c r="J816" s="769"/>
      <c r="K816" s="173" t="str">
        <f>"          INPUT PROJECTED ARR (WITH &amp; WITHOUT INCENTIVES) FROM EACH PRIOR YEAR"</f>
        <v xml:space="preserve">          INPUT PROJECTED ARR (WITH &amp; WITHOUT INCENTIVES) FROM EACH PRIOR YEAR</v>
      </c>
    </row>
    <row r="817" spans="2:15">
      <c r="C817" s="764" t="s">
        <v>74</v>
      </c>
      <c r="D817" s="770">
        <f>$G$79</f>
        <v>38</v>
      </c>
      <c r="E817" s="764" t="s">
        <v>75</v>
      </c>
      <c r="F817" s="765"/>
      <c r="H817" s="173"/>
      <c r="I817" s="768">
        <f>IF(G808="",I816,$G$69)</f>
        <v>0.11318296473052861</v>
      </c>
      <c r="J817" s="771"/>
      <c r="K817" s="173" t="s">
        <v>152</v>
      </c>
    </row>
    <row r="818" spans="2:15" ht="13.5" thickBot="1">
      <c r="C818" s="764" t="s">
        <v>76</v>
      </c>
      <c r="D818" s="807" t="s">
        <v>810</v>
      </c>
      <c r="E818" s="772" t="s">
        <v>77</v>
      </c>
      <c r="F818" s="773"/>
      <c r="G818" s="774"/>
      <c r="H818" s="774"/>
      <c r="I818" s="752">
        <f>IF(D814=0,0,D814/D817)</f>
        <v>1997556.1042105262</v>
      </c>
      <c r="J818" s="730"/>
      <c r="K818" s="730" t="s">
        <v>158</v>
      </c>
      <c r="L818" s="730"/>
      <c r="M818" s="730"/>
      <c r="N818" s="730"/>
      <c r="O818" s="427"/>
    </row>
    <row r="819" spans="2:15" ht="38.25">
      <c r="B819" s="845"/>
      <c r="C819" s="775" t="s">
        <v>67</v>
      </c>
      <c r="D819" s="776" t="s">
        <v>78</v>
      </c>
      <c r="E819" s="777" t="s">
        <v>79</v>
      </c>
      <c r="F819" s="776" t="s">
        <v>80</v>
      </c>
      <c r="G819" s="777" t="s">
        <v>151</v>
      </c>
      <c r="H819" s="778" t="s">
        <v>151</v>
      </c>
      <c r="I819" s="775" t="s">
        <v>90</v>
      </c>
      <c r="J819" s="779"/>
      <c r="K819" s="777" t="s">
        <v>160</v>
      </c>
      <c r="L819" s="780"/>
      <c r="M819" s="777" t="s">
        <v>160</v>
      </c>
      <c r="N819" s="780"/>
      <c r="O819" s="780"/>
    </row>
    <row r="820" spans="2:15" ht="13.5" thickBot="1">
      <c r="C820" s="781" t="s">
        <v>467</v>
      </c>
      <c r="D820" s="782" t="s">
        <v>468</v>
      </c>
      <c r="E820" s="781" t="s">
        <v>361</v>
      </c>
      <c r="F820" s="782" t="s">
        <v>468</v>
      </c>
      <c r="G820" s="783" t="s">
        <v>93</v>
      </c>
      <c r="H820" s="784" t="s">
        <v>95</v>
      </c>
      <c r="I820" s="785" t="s">
        <v>15</v>
      </c>
      <c r="J820" s="786"/>
      <c r="K820" s="783" t="s">
        <v>82</v>
      </c>
      <c r="L820" s="787"/>
      <c r="M820" s="783" t="s">
        <v>95</v>
      </c>
      <c r="N820" s="787"/>
      <c r="O820" s="787"/>
    </row>
    <row r="821" spans="2:15">
      <c r="C821" s="788">
        <f>IF(D815= "","-",D815)</f>
        <v>2014</v>
      </c>
      <c r="D821" s="736">
        <f>+D814</f>
        <v>75907131.959999993</v>
      </c>
      <c r="E821" s="789">
        <f>+I818/12*(12-D816)</f>
        <v>499389.02605263155</v>
      </c>
      <c r="F821" s="736">
        <f>+D821-E821</f>
        <v>75407742.933947355</v>
      </c>
      <c r="G821" s="999">
        <f>+$I$96*((D821+F821)/2)+E821</f>
        <v>9062522.1002156287</v>
      </c>
      <c r="H821" s="1000">
        <f>$I$97*((D821+F821)/2)+E821</f>
        <v>9062522.1002156287</v>
      </c>
      <c r="I821" s="792">
        <f>+H821-G821</f>
        <v>0</v>
      </c>
      <c r="J821" s="792"/>
      <c r="K821" s="811" t="s">
        <v>819</v>
      </c>
      <c r="L821" s="793"/>
      <c r="M821" s="811" t="s">
        <v>819</v>
      </c>
      <c r="N821" s="793"/>
      <c r="O821" s="793"/>
    </row>
    <row r="822" spans="2:15">
      <c r="C822" s="788">
        <f>IF(D815="","-",+C821+1)</f>
        <v>2015</v>
      </c>
      <c r="D822" s="736">
        <f t="shared" ref="D822:D880" si="48">F821</f>
        <v>75407742.933947355</v>
      </c>
      <c r="E822" s="789">
        <f>IF(D822&gt;$I$818,$I$818,D822)</f>
        <v>1997556.1042105262</v>
      </c>
      <c r="F822" s="736">
        <f t="shared" ref="F822:F880" si="49">+D822-E822</f>
        <v>73410186.829736829</v>
      </c>
      <c r="G822" s="794">
        <f t="shared" ref="G822:G880" si="50">+$I$96*((D822+F822)/2)+E822</f>
        <v>10419383.3520672</v>
      </c>
      <c r="H822" s="795">
        <f t="shared" ref="H822:H880" si="51">$I$97*((D822+F822)/2)+E822</f>
        <v>10419383.3520672</v>
      </c>
      <c r="I822" s="792">
        <f t="shared" ref="I822:I880" si="52">+H822-G822</f>
        <v>0</v>
      </c>
      <c r="J822" s="792"/>
      <c r="K822" s="812" t="s">
        <v>819</v>
      </c>
      <c r="L822" s="796"/>
      <c r="M822" s="812" t="s">
        <v>819</v>
      </c>
      <c r="N822" s="796"/>
      <c r="O822" s="796"/>
    </row>
    <row r="823" spans="2:15">
      <c r="C823" s="788">
        <f>IF(D815="","-",+C822+1)</f>
        <v>2016</v>
      </c>
      <c r="D823" s="736">
        <f t="shared" si="48"/>
        <v>73410186.829736829</v>
      </c>
      <c r="E823" s="789">
        <f t="shared" ref="E823:E880" si="53">IF(D823&gt;$I$818,$I$818,D823)</f>
        <v>1997556.1042105262</v>
      </c>
      <c r="F823" s="736">
        <f t="shared" si="49"/>
        <v>71412630.725526303</v>
      </c>
      <c r="G823" s="794">
        <f t="shared" si="50"/>
        <v>10193294.029977089</v>
      </c>
      <c r="H823" s="795">
        <f t="shared" si="51"/>
        <v>10193294.029977089</v>
      </c>
      <c r="I823" s="792">
        <f t="shared" si="52"/>
        <v>0</v>
      </c>
      <c r="J823" s="792"/>
      <c r="K823" s="812">
        <v>1188</v>
      </c>
      <c r="L823" s="796"/>
      <c r="M823" s="812">
        <v>1188</v>
      </c>
      <c r="N823" s="796"/>
      <c r="O823" s="796"/>
    </row>
    <row r="824" spans="2:15">
      <c r="C824" s="1315">
        <f>IF(D815="","-",+C823+1)</f>
        <v>2017</v>
      </c>
      <c r="D824" s="736">
        <f t="shared" si="48"/>
        <v>71412630.725526303</v>
      </c>
      <c r="E824" s="789">
        <f t="shared" si="53"/>
        <v>1997556.1042105262</v>
      </c>
      <c r="F824" s="736">
        <f t="shared" si="49"/>
        <v>69415074.621315777</v>
      </c>
      <c r="G824" s="794">
        <f t="shared" si="50"/>
        <v>9967204.7078869771</v>
      </c>
      <c r="H824" s="795">
        <f t="shared" si="51"/>
        <v>9967204.7078869771</v>
      </c>
      <c r="I824" s="792">
        <f t="shared" si="52"/>
        <v>0</v>
      </c>
      <c r="J824" s="792"/>
      <c r="K824" s="812">
        <v>281554</v>
      </c>
      <c r="L824" s="796"/>
      <c r="M824" s="812">
        <v>281554</v>
      </c>
      <c r="N824" s="796"/>
      <c r="O824" s="796"/>
    </row>
    <row r="825" spans="2:15">
      <c r="C825" s="1315">
        <f>IF(D815="","-",+C824+1)</f>
        <v>2018</v>
      </c>
      <c r="D825" s="736">
        <f t="shared" si="48"/>
        <v>69415074.621315777</v>
      </c>
      <c r="E825" s="789">
        <f t="shared" si="53"/>
        <v>1997556.1042105262</v>
      </c>
      <c r="F825" s="736">
        <f t="shared" si="49"/>
        <v>67417518.517105252</v>
      </c>
      <c r="G825" s="794">
        <f t="shared" si="50"/>
        <v>9741115.3857968654</v>
      </c>
      <c r="H825" s="795">
        <f t="shared" si="51"/>
        <v>9741115.3857968654</v>
      </c>
      <c r="I825" s="792">
        <f t="shared" si="52"/>
        <v>0</v>
      </c>
      <c r="J825" s="792"/>
      <c r="K825" s="812">
        <v>262335</v>
      </c>
      <c r="L825" s="796"/>
      <c r="M825" s="812">
        <v>262335</v>
      </c>
      <c r="N825" s="796"/>
      <c r="O825" s="796"/>
    </row>
    <row r="826" spans="2:15">
      <c r="C826" s="1315">
        <f>IF(D815="","-",+C825+1)</f>
        <v>2019</v>
      </c>
      <c r="D826" s="736">
        <f t="shared" si="48"/>
        <v>67417518.517105252</v>
      </c>
      <c r="E826" s="789">
        <f t="shared" si="53"/>
        <v>1997556.1042105262</v>
      </c>
      <c r="F826" s="736">
        <f t="shared" si="49"/>
        <v>65419962.412894726</v>
      </c>
      <c r="G826" s="794">
        <f t="shared" si="50"/>
        <v>9515026.0637067538</v>
      </c>
      <c r="H826" s="795">
        <f t="shared" si="51"/>
        <v>9515026.0637067538</v>
      </c>
      <c r="I826" s="792">
        <f t="shared" si="52"/>
        <v>0</v>
      </c>
      <c r="J826" s="792"/>
      <c r="K826" s="812">
        <v>252907.17719538067</v>
      </c>
      <c r="L826" s="796"/>
      <c r="M826" s="812">
        <v>252907.17719538067</v>
      </c>
      <c r="N826" s="796"/>
      <c r="O826" s="796"/>
    </row>
    <row r="827" spans="2:15">
      <c r="C827" s="1315">
        <f>IF(D815="","-",+C826+1)</f>
        <v>2020</v>
      </c>
      <c r="D827" s="736">
        <f t="shared" si="48"/>
        <v>65419962.412894726</v>
      </c>
      <c r="E827" s="789">
        <f t="shared" si="53"/>
        <v>1997556.1042105262</v>
      </c>
      <c r="F827" s="736">
        <f t="shared" si="49"/>
        <v>63422406.3086842</v>
      </c>
      <c r="G827" s="794">
        <f t="shared" si="50"/>
        <v>9288936.7416166402</v>
      </c>
      <c r="H827" s="795">
        <f t="shared" si="51"/>
        <v>9288936.7416166402</v>
      </c>
      <c r="I827" s="792">
        <f t="shared" si="52"/>
        <v>0</v>
      </c>
      <c r="J827" s="792"/>
      <c r="K827" s="812">
        <v>248870.10008338431</v>
      </c>
      <c r="L827" s="796"/>
      <c r="M827" s="812">
        <v>248870.10008338431</v>
      </c>
      <c r="N827" s="796"/>
      <c r="O827" s="796"/>
    </row>
    <row r="828" spans="2:15">
      <c r="C828" s="1315">
        <f>IF(D815="","-",+C827+1)</f>
        <v>2021</v>
      </c>
      <c r="D828" s="736">
        <f t="shared" si="48"/>
        <v>63422406.3086842</v>
      </c>
      <c r="E828" s="789">
        <f t="shared" si="53"/>
        <v>1997556.1042105262</v>
      </c>
      <c r="F828" s="736">
        <f t="shared" si="49"/>
        <v>61424850.204473674</v>
      </c>
      <c r="G828" s="794">
        <f t="shared" si="50"/>
        <v>9062847.4195265286</v>
      </c>
      <c r="H828" s="795">
        <f t="shared" si="51"/>
        <v>9062847.4195265286</v>
      </c>
      <c r="I828" s="792">
        <f t="shared" si="52"/>
        <v>0</v>
      </c>
      <c r="J828" s="792"/>
      <c r="K828" s="812">
        <v>8589502.3234082609</v>
      </c>
      <c r="L828" s="796"/>
      <c r="M828" s="812">
        <v>8589502.3234082609</v>
      </c>
      <c r="N828" s="796"/>
      <c r="O828" s="796"/>
    </row>
    <row r="829" spans="2:15">
      <c r="C829" s="1315">
        <f>IF(D815="","-",+C828+1)</f>
        <v>2022</v>
      </c>
      <c r="D829" s="736">
        <f t="shared" si="48"/>
        <v>61424850.204473674</v>
      </c>
      <c r="E829" s="789">
        <f t="shared" si="53"/>
        <v>1997556.1042105262</v>
      </c>
      <c r="F829" s="736">
        <f t="shared" si="49"/>
        <v>59427294.100263149</v>
      </c>
      <c r="G829" s="794">
        <f t="shared" si="50"/>
        <v>8836758.0974364169</v>
      </c>
      <c r="H829" s="795">
        <f t="shared" si="51"/>
        <v>8836758.0974364169</v>
      </c>
      <c r="I829" s="792">
        <f t="shared" si="52"/>
        <v>0</v>
      </c>
      <c r="J829" s="792"/>
      <c r="K829" s="812">
        <v>8547271.6993332524</v>
      </c>
      <c r="L829" s="796"/>
      <c r="M829" s="812">
        <v>8547271.6993332524</v>
      </c>
      <c r="N829" s="796"/>
      <c r="O829" s="796"/>
    </row>
    <row r="830" spans="2:15">
      <c r="C830" s="1433">
        <f>IF(D815="","-",+C829+1)</f>
        <v>2023</v>
      </c>
      <c r="D830" s="736">
        <f t="shared" si="48"/>
        <v>59427294.100263149</v>
      </c>
      <c r="E830" s="789">
        <f t="shared" si="53"/>
        <v>1997556.1042105262</v>
      </c>
      <c r="F830" s="736">
        <f t="shared" si="49"/>
        <v>57429737.996052623</v>
      </c>
      <c r="G830" s="794">
        <f t="shared" si="50"/>
        <v>8610668.7753463052</v>
      </c>
      <c r="H830" s="795">
        <f t="shared" si="51"/>
        <v>8610668.7753463052</v>
      </c>
      <c r="I830" s="792">
        <f t="shared" si="52"/>
        <v>0</v>
      </c>
      <c r="J830" s="792"/>
      <c r="K830" s="812">
        <v>8492485.5302819796</v>
      </c>
      <c r="L830" s="796"/>
      <c r="M830" s="812">
        <v>8492485.5302819796</v>
      </c>
      <c r="N830" s="796"/>
      <c r="O830" s="796"/>
    </row>
    <row r="831" spans="2:15">
      <c r="C831" s="1433">
        <f>IF(D815="","-",+C830+1)</f>
        <v>2024</v>
      </c>
      <c r="D831" s="736">
        <f t="shared" si="48"/>
        <v>57429737.996052623</v>
      </c>
      <c r="E831" s="789">
        <f t="shared" si="53"/>
        <v>1997556.1042105262</v>
      </c>
      <c r="F831" s="736">
        <f t="shared" si="49"/>
        <v>55432181.891842097</v>
      </c>
      <c r="G831" s="794">
        <f t="shared" si="50"/>
        <v>8384579.4532561935</v>
      </c>
      <c r="H831" s="795">
        <f t="shared" si="51"/>
        <v>8384579.4532561935</v>
      </c>
      <c r="I831" s="792">
        <f t="shared" si="52"/>
        <v>0</v>
      </c>
      <c r="J831" s="792"/>
      <c r="K831" s="812">
        <v>8440690.2664118633</v>
      </c>
      <c r="L831" s="796"/>
      <c r="M831" s="812">
        <v>8440690.2664118633</v>
      </c>
      <c r="N831" s="796"/>
      <c r="O831" s="796"/>
    </row>
    <row r="832" spans="2:15">
      <c r="C832" s="1311">
        <f>IF(D815="","-",+C831+1)</f>
        <v>2025</v>
      </c>
      <c r="D832" s="736">
        <f t="shared" si="48"/>
        <v>55432181.891842097</v>
      </c>
      <c r="E832" s="789">
        <f t="shared" si="53"/>
        <v>1997556.1042105262</v>
      </c>
      <c r="F832" s="736">
        <f t="shared" si="49"/>
        <v>53434625.787631571</v>
      </c>
      <c r="G832" s="794">
        <f t="shared" si="50"/>
        <v>8158490.13116608</v>
      </c>
      <c r="H832" s="795">
        <f t="shared" si="51"/>
        <v>8158490.13116608</v>
      </c>
      <c r="I832" s="792">
        <f t="shared" si="52"/>
        <v>0</v>
      </c>
      <c r="J832" s="792"/>
      <c r="K832" s="812"/>
      <c r="L832" s="796"/>
      <c r="M832" s="812"/>
      <c r="N832" s="796"/>
      <c r="O832" s="796"/>
    </row>
    <row r="833" spans="3:15">
      <c r="C833" s="788">
        <f>IF(D815="","-",+C832+1)</f>
        <v>2026</v>
      </c>
      <c r="D833" s="736">
        <f t="shared" si="48"/>
        <v>53434625.787631571</v>
      </c>
      <c r="E833" s="789">
        <f t="shared" si="53"/>
        <v>1997556.1042105262</v>
      </c>
      <c r="F833" s="736">
        <f t="shared" si="49"/>
        <v>51437069.683421046</v>
      </c>
      <c r="G833" s="794">
        <f t="shared" si="50"/>
        <v>7932400.8090759683</v>
      </c>
      <c r="H833" s="795">
        <f t="shared" si="51"/>
        <v>7932400.8090759683</v>
      </c>
      <c r="I833" s="792">
        <f t="shared" si="52"/>
        <v>0</v>
      </c>
      <c r="J833" s="792"/>
      <c r="K833" s="812"/>
      <c r="L833" s="796"/>
      <c r="M833" s="812"/>
      <c r="N833" s="797"/>
      <c r="O833" s="796"/>
    </row>
    <row r="834" spans="3:15">
      <c r="C834" s="788">
        <f>IF(D815="","-",+C833+1)</f>
        <v>2027</v>
      </c>
      <c r="D834" s="736">
        <f t="shared" si="48"/>
        <v>51437069.683421046</v>
      </c>
      <c r="E834" s="789">
        <f t="shared" si="53"/>
        <v>1997556.1042105262</v>
      </c>
      <c r="F834" s="736">
        <f t="shared" si="49"/>
        <v>49439513.57921052</v>
      </c>
      <c r="G834" s="794">
        <f t="shared" si="50"/>
        <v>7706311.4869858567</v>
      </c>
      <c r="H834" s="795">
        <f t="shared" si="51"/>
        <v>7706311.4869858567</v>
      </c>
      <c r="I834" s="792">
        <f t="shared" si="52"/>
        <v>0</v>
      </c>
      <c r="J834" s="792"/>
      <c r="K834" s="812"/>
      <c r="L834" s="796"/>
      <c r="M834" s="812"/>
      <c r="N834" s="796"/>
      <c r="O834" s="796"/>
    </row>
    <row r="835" spans="3:15">
      <c r="C835" s="788">
        <f>IF(D815="","-",+C834+1)</f>
        <v>2028</v>
      </c>
      <c r="D835" s="736">
        <f t="shared" si="48"/>
        <v>49439513.57921052</v>
      </c>
      <c r="E835" s="789">
        <f t="shared" si="53"/>
        <v>1997556.1042105262</v>
      </c>
      <c r="F835" s="736">
        <f t="shared" si="49"/>
        <v>47441957.474999994</v>
      </c>
      <c r="G835" s="794">
        <f t="shared" si="50"/>
        <v>7480222.164895745</v>
      </c>
      <c r="H835" s="795">
        <f t="shared" si="51"/>
        <v>7480222.164895745</v>
      </c>
      <c r="I835" s="792">
        <f t="shared" si="52"/>
        <v>0</v>
      </c>
      <c r="J835" s="792"/>
      <c r="K835" s="812"/>
      <c r="L835" s="796"/>
      <c r="M835" s="812"/>
      <c r="N835" s="796"/>
      <c r="O835" s="796"/>
    </row>
    <row r="836" spans="3:15">
      <c r="C836" s="788">
        <f>IF(D815="","-",+C835+1)</f>
        <v>2029</v>
      </c>
      <c r="D836" s="736">
        <f t="shared" si="48"/>
        <v>47441957.474999994</v>
      </c>
      <c r="E836" s="789">
        <f t="shared" si="53"/>
        <v>1997556.1042105262</v>
      </c>
      <c r="F836" s="736">
        <f t="shared" si="49"/>
        <v>45444401.370789468</v>
      </c>
      <c r="G836" s="794">
        <f t="shared" si="50"/>
        <v>7254132.8428056333</v>
      </c>
      <c r="H836" s="795">
        <f t="shared" si="51"/>
        <v>7254132.8428056333</v>
      </c>
      <c r="I836" s="792">
        <f t="shared" si="52"/>
        <v>0</v>
      </c>
      <c r="J836" s="792"/>
      <c r="K836" s="812"/>
      <c r="L836" s="796"/>
      <c r="M836" s="812"/>
      <c r="N836" s="796"/>
      <c r="O836" s="796"/>
    </row>
    <row r="837" spans="3:15">
      <c r="C837" s="788">
        <f>IF(D815="","-",+C836+1)</f>
        <v>2030</v>
      </c>
      <c r="D837" s="736">
        <f t="shared" si="48"/>
        <v>45444401.370789468</v>
      </c>
      <c r="E837" s="789">
        <f t="shared" si="53"/>
        <v>1997556.1042105262</v>
      </c>
      <c r="F837" s="736">
        <f t="shared" si="49"/>
        <v>43446845.266578943</v>
      </c>
      <c r="G837" s="794">
        <f t="shared" si="50"/>
        <v>7028043.5207155198</v>
      </c>
      <c r="H837" s="795">
        <f t="shared" si="51"/>
        <v>7028043.5207155198</v>
      </c>
      <c r="I837" s="792">
        <f t="shared" si="52"/>
        <v>0</v>
      </c>
      <c r="J837" s="792"/>
      <c r="K837" s="812"/>
      <c r="L837" s="796"/>
      <c r="M837" s="812"/>
      <c r="N837" s="796"/>
      <c r="O837" s="796"/>
    </row>
    <row r="838" spans="3:15">
      <c r="C838" s="788">
        <f>IF(D815="","-",+C837+1)</f>
        <v>2031</v>
      </c>
      <c r="D838" s="736">
        <f t="shared" si="48"/>
        <v>43446845.266578943</v>
      </c>
      <c r="E838" s="789">
        <f t="shared" si="53"/>
        <v>1997556.1042105262</v>
      </c>
      <c r="F838" s="736">
        <f t="shared" si="49"/>
        <v>41449289.162368417</v>
      </c>
      <c r="G838" s="794">
        <f t="shared" si="50"/>
        <v>6801954.1986254081</v>
      </c>
      <c r="H838" s="795">
        <f t="shared" si="51"/>
        <v>6801954.1986254081</v>
      </c>
      <c r="I838" s="792">
        <f t="shared" si="52"/>
        <v>0</v>
      </c>
      <c r="J838" s="792"/>
      <c r="K838" s="812"/>
      <c r="L838" s="796"/>
      <c r="M838" s="812"/>
      <c r="N838" s="796"/>
      <c r="O838" s="796"/>
    </row>
    <row r="839" spans="3:15">
      <c r="C839" s="788">
        <f>IF(D815="","-",+C838+1)</f>
        <v>2032</v>
      </c>
      <c r="D839" s="736">
        <f t="shared" si="48"/>
        <v>41449289.162368417</v>
      </c>
      <c r="E839" s="789">
        <f t="shared" si="53"/>
        <v>1997556.1042105262</v>
      </c>
      <c r="F839" s="736">
        <f t="shared" si="49"/>
        <v>39451733.058157891</v>
      </c>
      <c r="G839" s="794">
        <f t="shared" si="50"/>
        <v>6575864.8765352964</v>
      </c>
      <c r="H839" s="795">
        <f t="shared" si="51"/>
        <v>6575864.8765352964</v>
      </c>
      <c r="I839" s="792">
        <f t="shared" si="52"/>
        <v>0</v>
      </c>
      <c r="J839" s="792"/>
      <c r="K839" s="812"/>
      <c r="L839" s="796"/>
      <c r="M839" s="812"/>
      <c r="N839" s="796"/>
      <c r="O839" s="796"/>
    </row>
    <row r="840" spans="3:15">
      <c r="C840" s="788">
        <f>IF(D815="","-",+C839+1)</f>
        <v>2033</v>
      </c>
      <c r="D840" s="736">
        <f t="shared" si="48"/>
        <v>39451733.058157891</v>
      </c>
      <c r="E840" s="789">
        <f t="shared" si="53"/>
        <v>1997556.1042105262</v>
      </c>
      <c r="F840" s="736">
        <f t="shared" si="49"/>
        <v>37454176.953947365</v>
      </c>
      <c r="G840" s="794">
        <f t="shared" si="50"/>
        <v>6349775.5544451848</v>
      </c>
      <c r="H840" s="795">
        <f t="shared" si="51"/>
        <v>6349775.5544451848</v>
      </c>
      <c r="I840" s="792">
        <f t="shared" si="52"/>
        <v>0</v>
      </c>
      <c r="J840" s="792"/>
      <c r="K840" s="812"/>
      <c r="L840" s="796"/>
      <c r="M840" s="812"/>
      <c r="N840" s="796"/>
      <c r="O840" s="796"/>
    </row>
    <row r="841" spans="3:15">
      <c r="C841" s="788">
        <f>IF(D815="","-",+C840+1)</f>
        <v>2034</v>
      </c>
      <c r="D841" s="736">
        <f t="shared" si="48"/>
        <v>37454176.953947365</v>
      </c>
      <c r="E841" s="789">
        <f t="shared" si="53"/>
        <v>1997556.1042105262</v>
      </c>
      <c r="F841" s="736">
        <f t="shared" si="49"/>
        <v>35456620.84973684</v>
      </c>
      <c r="G841" s="794">
        <f t="shared" si="50"/>
        <v>6123686.2323550722</v>
      </c>
      <c r="H841" s="795">
        <f t="shared" si="51"/>
        <v>6123686.2323550722</v>
      </c>
      <c r="I841" s="792">
        <f t="shared" si="52"/>
        <v>0</v>
      </c>
      <c r="J841" s="792"/>
      <c r="K841" s="812"/>
      <c r="L841" s="796"/>
      <c r="M841" s="812"/>
      <c r="N841" s="796"/>
      <c r="O841" s="796"/>
    </row>
    <row r="842" spans="3:15">
      <c r="C842" s="788">
        <f>IF(D815="","-",+C841+1)</f>
        <v>2035</v>
      </c>
      <c r="D842" s="736">
        <f t="shared" si="48"/>
        <v>35456620.84973684</v>
      </c>
      <c r="E842" s="789">
        <f t="shared" si="53"/>
        <v>1997556.1042105262</v>
      </c>
      <c r="F842" s="736">
        <f t="shared" si="49"/>
        <v>33459064.745526314</v>
      </c>
      <c r="G842" s="794">
        <f t="shared" si="50"/>
        <v>5897596.9102649596</v>
      </c>
      <c r="H842" s="795">
        <f t="shared" si="51"/>
        <v>5897596.9102649596</v>
      </c>
      <c r="I842" s="792">
        <f t="shared" si="52"/>
        <v>0</v>
      </c>
      <c r="J842" s="792"/>
      <c r="K842" s="812"/>
      <c r="L842" s="796"/>
      <c r="M842" s="812"/>
      <c r="N842" s="796"/>
      <c r="O842" s="796"/>
    </row>
    <row r="843" spans="3:15">
      <c r="C843" s="788">
        <f>IF(D815="","-",+C842+1)</f>
        <v>2036</v>
      </c>
      <c r="D843" s="736">
        <f t="shared" si="48"/>
        <v>33459064.745526314</v>
      </c>
      <c r="E843" s="789">
        <f t="shared" si="53"/>
        <v>1997556.1042105262</v>
      </c>
      <c r="F843" s="736">
        <f t="shared" si="49"/>
        <v>31461508.641315788</v>
      </c>
      <c r="G843" s="794">
        <f t="shared" si="50"/>
        <v>5671507.5881748479</v>
      </c>
      <c r="H843" s="795">
        <f t="shared" si="51"/>
        <v>5671507.5881748479</v>
      </c>
      <c r="I843" s="792">
        <f t="shared" si="52"/>
        <v>0</v>
      </c>
      <c r="J843" s="792"/>
      <c r="K843" s="812"/>
      <c r="L843" s="796"/>
      <c r="M843" s="812"/>
      <c r="N843" s="796"/>
      <c r="O843" s="796"/>
    </row>
    <row r="844" spans="3:15">
      <c r="C844" s="788">
        <f>IF(D815="","-",+C843+1)</f>
        <v>2037</v>
      </c>
      <c r="D844" s="736">
        <f t="shared" si="48"/>
        <v>31461508.641315788</v>
      </c>
      <c r="E844" s="789">
        <f t="shared" si="53"/>
        <v>1997556.1042105262</v>
      </c>
      <c r="F844" s="736">
        <f t="shared" si="49"/>
        <v>29463952.537105262</v>
      </c>
      <c r="G844" s="794">
        <f t="shared" si="50"/>
        <v>5445418.2660847362</v>
      </c>
      <c r="H844" s="795">
        <f t="shared" si="51"/>
        <v>5445418.2660847362</v>
      </c>
      <c r="I844" s="792">
        <f t="shared" si="52"/>
        <v>0</v>
      </c>
      <c r="J844" s="792"/>
      <c r="K844" s="812"/>
      <c r="L844" s="796"/>
      <c r="M844" s="812"/>
      <c r="N844" s="796"/>
      <c r="O844" s="796"/>
    </row>
    <row r="845" spans="3:15">
      <c r="C845" s="788">
        <f>IF(D815="","-",+C844+1)</f>
        <v>2038</v>
      </c>
      <c r="D845" s="736">
        <f t="shared" si="48"/>
        <v>29463952.537105262</v>
      </c>
      <c r="E845" s="789">
        <f t="shared" si="53"/>
        <v>1997556.1042105262</v>
      </c>
      <c r="F845" s="736">
        <f t="shared" si="49"/>
        <v>27466396.432894737</v>
      </c>
      <c r="G845" s="794">
        <f t="shared" si="50"/>
        <v>5219328.9439946245</v>
      </c>
      <c r="H845" s="795">
        <f t="shared" si="51"/>
        <v>5219328.9439946245</v>
      </c>
      <c r="I845" s="792">
        <f t="shared" si="52"/>
        <v>0</v>
      </c>
      <c r="J845" s="792"/>
      <c r="K845" s="812"/>
      <c r="L845" s="796"/>
      <c r="M845" s="812"/>
      <c r="N845" s="796"/>
      <c r="O845" s="796"/>
    </row>
    <row r="846" spans="3:15">
      <c r="C846" s="788">
        <f>IF(D815="","-",+C845+1)</f>
        <v>2039</v>
      </c>
      <c r="D846" s="736">
        <f t="shared" si="48"/>
        <v>27466396.432894737</v>
      </c>
      <c r="E846" s="789">
        <f t="shared" si="53"/>
        <v>1997556.1042105262</v>
      </c>
      <c r="F846" s="736">
        <f t="shared" si="49"/>
        <v>25468840.328684211</v>
      </c>
      <c r="G846" s="794">
        <f t="shared" si="50"/>
        <v>4993239.6219045119</v>
      </c>
      <c r="H846" s="795">
        <f t="shared" si="51"/>
        <v>4993239.6219045119</v>
      </c>
      <c r="I846" s="792">
        <f t="shared" si="52"/>
        <v>0</v>
      </c>
      <c r="J846" s="792"/>
      <c r="K846" s="812"/>
      <c r="L846" s="796"/>
      <c r="M846" s="812"/>
      <c r="N846" s="796"/>
      <c r="O846" s="796"/>
    </row>
    <row r="847" spans="3:15">
      <c r="C847" s="788">
        <f>IF(D815="","-",+C846+1)</f>
        <v>2040</v>
      </c>
      <c r="D847" s="736">
        <f t="shared" si="48"/>
        <v>25468840.328684211</v>
      </c>
      <c r="E847" s="789">
        <f t="shared" si="53"/>
        <v>1997556.1042105262</v>
      </c>
      <c r="F847" s="736">
        <f t="shared" si="49"/>
        <v>23471284.224473685</v>
      </c>
      <c r="G847" s="794">
        <f t="shared" si="50"/>
        <v>4767150.2998143993</v>
      </c>
      <c r="H847" s="795">
        <f t="shared" si="51"/>
        <v>4767150.2998143993</v>
      </c>
      <c r="I847" s="792">
        <f t="shared" si="52"/>
        <v>0</v>
      </c>
      <c r="J847" s="792"/>
      <c r="K847" s="812"/>
      <c r="L847" s="796"/>
      <c r="M847" s="812"/>
      <c r="N847" s="796"/>
      <c r="O847" s="796"/>
    </row>
    <row r="848" spans="3:15">
      <c r="C848" s="788">
        <f>IF(D815="","-",+C847+1)</f>
        <v>2041</v>
      </c>
      <c r="D848" s="736">
        <f t="shared" si="48"/>
        <v>23471284.224473685</v>
      </c>
      <c r="E848" s="789">
        <f t="shared" si="53"/>
        <v>1997556.1042105262</v>
      </c>
      <c r="F848" s="736">
        <f t="shared" si="49"/>
        <v>21473728.120263159</v>
      </c>
      <c r="G848" s="794">
        <f t="shared" si="50"/>
        <v>4541060.9777242877</v>
      </c>
      <c r="H848" s="795">
        <f t="shared" si="51"/>
        <v>4541060.9777242877</v>
      </c>
      <c r="I848" s="792">
        <f t="shared" si="52"/>
        <v>0</v>
      </c>
      <c r="J848" s="792"/>
      <c r="K848" s="812"/>
      <c r="L848" s="796"/>
      <c r="M848" s="812"/>
      <c r="N848" s="796"/>
      <c r="O848" s="796"/>
    </row>
    <row r="849" spans="3:15">
      <c r="C849" s="788">
        <f>IF(D815="","-",+C848+1)</f>
        <v>2042</v>
      </c>
      <c r="D849" s="736">
        <f t="shared" si="48"/>
        <v>21473728.120263159</v>
      </c>
      <c r="E849" s="789">
        <f t="shared" si="53"/>
        <v>1997556.1042105262</v>
      </c>
      <c r="F849" s="736">
        <f t="shared" si="49"/>
        <v>19476172.016052634</v>
      </c>
      <c r="G849" s="790">
        <f t="shared" si="50"/>
        <v>4314971.655634176</v>
      </c>
      <c r="H849" s="795">
        <f t="shared" si="51"/>
        <v>4314971.655634176</v>
      </c>
      <c r="I849" s="792">
        <f t="shared" si="52"/>
        <v>0</v>
      </c>
      <c r="J849" s="792"/>
      <c r="K849" s="812"/>
      <c r="L849" s="796"/>
      <c r="M849" s="812"/>
      <c r="N849" s="796"/>
      <c r="O849" s="796"/>
    </row>
    <row r="850" spans="3:15">
      <c r="C850" s="788">
        <f>IF(D815="","-",+C849+1)</f>
        <v>2043</v>
      </c>
      <c r="D850" s="736">
        <f t="shared" si="48"/>
        <v>19476172.016052634</v>
      </c>
      <c r="E850" s="789">
        <f t="shared" si="53"/>
        <v>1997556.1042105262</v>
      </c>
      <c r="F850" s="736">
        <f t="shared" si="49"/>
        <v>17478615.911842108</v>
      </c>
      <c r="G850" s="794">
        <f t="shared" si="50"/>
        <v>4088882.3335440634</v>
      </c>
      <c r="H850" s="795">
        <f t="shared" si="51"/>
        <v>4088882.3335440634</v>
      </c>
      <c r="I850" s="792">
        <f t="shared" si="52"/>
        <v>0</v>
      </c>
      <c r="J850" s="792"/>
      <c r="K850" s="812"/>
      <c r="L850" s="796"/>
      <c r="M850" s="812"/>
      <c r="N850" s="796"/>
      <c r="O850" s="796"/>
    </row>
    <row r="851" spans="3:15">
      <c r="C851" s="788">
        <f>IF(D815="","-",+C850+1)</f>
        <v>2044</v>
      </c>
      <c r="D851" s="736">
        <f t="shared" si="48"/>
        <v>17478615.911842108</v>
      </c>
      <c r="E851" s="789">
        <f t="shared" si="53"/>
        <v>1997556.1042105262</v>
      </c>
      <c r="F851" s="736">
        <f t="shared" si="49"/>
        <v>15481059.807631582</v>
      </c>
      <c r="G851" s="794">
        <f t="shared" si="50"/>
        <v>3862793.0114539517</v>
      </c>
      <c r="H851" s="795">
        <f t="shared" si="51"/>
        <v>3862793.0114539517</v>
      </c>
      <c r="I851" s="792">
        <f t="shared" si="52"/>
        <v>0</v>
      </c>
      <c r="J851" s="792"/>
      <c r="K851" s="812"/>
      <c r="L851" s="796"/>
      <c r="M851" s="812"/>
      <c r="N851" s="796"/>
      <c r="O851" s="796"/>
    </row>
    <row r="852" spans="3:15">
      <c r="C852" s="788">
        <f>IF(D815="","-",+C851+1)</f>
        <v>2045</v>
      </c>
      <c r="D852" s="736">
        <f t="shared" si="48"/>
        <v>15481059.807631582</v>
      </c>
      <c r="E852" s="789">
        <f t="shared" si="53"/>
        <v>1997556.1042105262</v>
      </c>
      <c r="F852" s="736">
        <f t="shared" si="49"/>
        <v>13483503.703421056</v>
      </c>
      <c r="G852" s="794">
        <f t="shared" si="50"/>
        <v>3636703.6893638396</v>
      </c>
      <c r="H852" s="795">
        <f t="shared" si="51"/>
        <v>3636703.6893638396</v>
      </c>
      <c r="I852" s="792">
        <f t="shared" si="52"/>
        <v>0</v>
      </c>
      <c r="J852" s="792"/>
      <c r="K852" s="812"/>
      <c r="L852" s="796"/>
      <c r="M852" s="812"/>
      <c r="N852" s="796"/>
      <c r="O852" s="796"/>
    </row>
    <row r="853" spans="3:15">
      <c r="C853" s="788">
        <f>IF(D815="","-",+C852+1)</f>
        <v>2046</v>
      </c>
      <c r="D853" s="736">
        <f t="shared" si="48"/>
        <v>13483503.703421056</v>
      </c>
      <c r="E853" s="789">
        <f t="shared" si="53"/>
        <v>1997556.1042105262</v>
      </c>
      <c r="F853" s="736">
        <f t="shared" si="49"/>
        <v>11485947.599210531</v>
      </c>
      <c r="G853" s="794">
        <f t="shared" si="50"/>
        <v>3410614.3672737274</v>
      </c>
      <c r="H853" s="795">
        <f t="shared" si="51"/>
        <v>3410614.3672737274</v>
      </c>
      <c r="I853" s="792">
        <f t="shared" si="52"/>
        <v>0</v>
      </c>
      <c r="J853" s="792"/>
      <c r="K853" s="812"/>
      <c r="L853" s="796"/>
      <c r="M853" s="812"/>
      <c r="N853" s="796"/>
      <c r="O853" s="796"/>
    </row>
    <row r="854" spans="3:15">
      <c r="C854" s="788">
        <f>IF(D815="","-",+C853+1)</f>
        <v>2047</v>
      </c>
      <c r="D854" s="736">
        <f t="shared" si="48"/>
        <v>11485947.599210531</v>
      </c>
      <c r="E854" s="789">
        <f t="shared" si="53"/>
        <v>1997556.1042105262</v>
      </c>
      <c r="F854" s="736">
        <f t="shared" si="49"/>
        <v>9488391.4950000048</v>
      </c>
      <c r="G854" s="794">
        <f t="shared" si="50"/>
        <v>3184525.0451836153</v>
      </c>
      <c r="H854" s="795">
        <f t="shared" si="51"/>
        <v>3184525.0451836153</v>
      </c>
      <c r="I854" s="792">
        <f t="shared" si="52"/>
        <v>0</v>
      </c>
      <c r="J854" s="792"/>
      <c r="K854" s="812"/>
      <c r="L854" s="796"/>
      <c r="M854" s="812"/>
      <c r="N854" s="796"/>
      <c r="O854" s="796"/>
    </row>
    <row r="855" spans="3:15">
      <c r="C855" s="788">
        <f>IF(D815="","-",+C854+1)</f>
        <v>2048</v>
      </c>
      <c r="D855" s="736">
        <f t="shared" si="48"/>
        <v>9488391.4950000048</v>
      </c>
      <c r="E855" s="789">
        <f t="shared" si="53"/>
        <v>1997556.1042105262</v>
      </c>
      <c r="F855" s="736">
        <f t="shared" si="49"/>
        <v>7490835.390789479</v>
      </c>
      <c r="G855" s="794">
        <f t="shared" si="50"/>
        <v>2958435.7230935032</v>
      </c>
      <c r="H855" s="795">
        <f t="shared" si="51"/>
        <v>2958435.7230935032</v>
      </c>
      <c r="I855" s="792">
        <f t="shared" si="52"/>
        <v>0</v>
      </c>
      <c r="J855" s="792"/>
      <c r="K855" s="812"/>
      <c r="L855" s="796"/>
      <c r="M855" s="812"/>
      <c r="N855" s="796"/>
      <c r="O855" s="796"/>
    </row>
    <row r="856" spans="3:15">
      <c r="C856" s="788">
        <f>IF(D815="","-",+C855+1)</f>
        <v>2049</v>
      </c>
      <c r="D856" s="736">
        <f t="shared" si="48"/>
        <v>7490835.390789479</v>
      </c>
      <c r="E856" s="789">
        <f t="shared" si="53"/>
        <v>1997556.1042105262</v>
      </c>
      <c r="F856" s="736">
        <f t="shared" si="49"/>
        <v>5493279.2865789533</v>
      </c>
      <c r="G856" s="794">
        <f t="shared" si="50"/>
        <v>2732346.4010033915</v>
      </c>
      <c r="H856" s="795">
        <f t="shared" si="51"/>
        <v>2732346.4010033915</v>
      </c>
      <c r="I856" s="792">
        <f t="shared" si="52"/>
        <v>0</v>
      </c>
      <c r="J856" s="792"/>
      <c r="K856" s="812"/>
      <c r="L856" s="796"/>
      <c r="M856" s="812"/>
      <c r="N856" s="796"/>
      <c r="O856" s="796"/>
    </row>
    <row r="857" spans="3:15">
      <c r="C857" s="788">
        <f>IF(D815="","-",+C856+1)</f>
        <v>2050</v>
      </c>
      <c r="D857" s="736">
        <f t="shared" si="48"/>
        <v>5493279.2865789533</v>
      </c>
      <c r="E857" s="789">
        <f t="shared" si="53"/>
        <v>1997556.1042105262</v>
      </c>
      <c r="F857" s="736">
        <f t="shared" si="49"/>
        <v>3495723.182368427</v>
      </c>
      <c r="G857" s="794">
        <f t="shared" si="50"/>
        <v>2506257.0789132793</v>
      </c>
      <c r="H857" s="795">
        <f t="shared" si="51"/>
        <v>2506257.0789132793</v>
      </c>
      <c r="I857" s="792">
        <f t="shared" si="52"/>
        <v>0</v>
      </c>
      <c r="J857" s="792"/>
      <c r="K857" s="812"/>
      <c r="L857" s="796"/>
      <c r="M857" s="812"/>
      <c r="N857" s="796"/>
      <c r="O857" s="796"/>
    </row>
    <row r="858" spans="3:15">
      <c r="C858" s="788">
        <f>IF(D815="","-",+C857+1)</f>
        <v>2051</v>
      </c>
      <c r="D858" s="736">
        <f t="shared" si="48"/>
        <v>3495723.182368427</v>
      </c>
      <c r="E858" s="789">
        <f t="shared" si="53"/>
        <v>1997556.1042105262</v>
      </c>
      <c r="F858" s="736">
        <f t="shared" si="49"/>
        <v>1498167.0781579008</v>
      </c>
      <c r="G858" s="794">
        <f t="shared" si="50"/>
        <v>2280167.7568231672</v>
      </c>
      <c r="H858" s="795">
        <f t="shared" si="51"/>
        <v>2280167.7568231672</v>
      </c>
      <c r="I858" s="792">
        <f t="shared" si="52"/>
        <v>0</v>
      </c>
      <c r="J858" s="792"/>
      <c r="K858" s="812"/>
      <c r="L858" s="796"/>
      <c r="M858" s="812"/>
      <c r="N858" s="796"/>
      <c r="O858" s="796"/>
    </row>
    <row r="859" spans="3:15">
      <c r="C859" s="788">
        <f>IF(D815="","-",+C858+1)</f>
        <v>2052</v>
      </c>
      <c r="D859" s="736">
        <f t="shared" si="48"/>
        <v>1498167.0781579008</v>
      </c>
      <c r="E859" s="789">
        <f t="shared" si="53"/>
        <v>1498167.0781579008</v>
      </c>
      <c r="F859" s="736">
        <f t="shared" si="49"/>
        <v>0</v>
      </c>
      <c r="G859" s="794">
        <f t="shared" si="50"/>
        <v>1582950.5739416932</v>
      </c>
      <c r="H859" s="795">
        <f t="shared" si="51"/>
        <v>1582950.5739416932</v>
      </c>
      <c r="I859" s="792">
        <f t="shared" si="52"/>
        <v>0</v>
      </c>
      <c r="J859" s="792"/>
      <c r="K859" s="812"/>
      <c r="L859" s="796"/>
      <c r="M859" s="812"/>
      <c r="N859" s="796"/>
      <c r="O859" s="796"/>
    </row>
    <row r="860" spans="3:15">
      <c r="C860" s="788">
        <f>IF(D815="","-",+C859+1)</f>
        <v>2053</v>
      </c>
      <c r="D860" s="736">
        <f t="shared" si="48"/>
        <v>0</v>
      </c>
      <c r="E860" s="789">
        <f t="shared" si="53"/>
        <v>0</v>
      </c>
      <c r="F860" s="736">
        <f t="shared" si="49"/>
        <v>0</v>
      </c>
      <c r="G860" s="794">
        <f t="shared" si="50"/>
        <v>0</v>
      </c>
      <c r="H860" s="795">
        <f t="shared" si="51"/>
        <v>0</v>
      </c>
      <c r="I860" s="792">
        <f t="shared" si="52"/>
        <v>0</v>
      </c>
      <c r="J860" s="792"/>
      <c r="K860" s="812"/>
      <c r="L860" s="796"/>
      <c r="M860" s="812"/>
      <c r="N860" s="796"/>
      <c r="O860" s="796"/>
    </row>
    <row r="861" spans="3:15">
      <c r="C861" s="788">
        <f>IF(D815="","-",+C860+1)</f>
        <v>2054</v>
      </c>
      <c r="D861" s="736">
        <f t="shared" si="48"/>
        <v>0</v>
      </c>
      <c r="E861" s="789">
        <f t="shared" si="53"/>
        <v>0</v>
      </c>
      <c r="F861" s="736">
        <f t="shared" si="49"/>
        <v>0</v>
      </c>
      <c r="G861" s="794">
        <f t="shared" si="50"/>
        <v>0</v>
      </c>
      <c r="H861" s="795">
        <f t="shared" si="51"/>
        <v>0</v>
      </c>
      <c r="I861" s="792">
        <f t="shared" si="52"/>
        <v>0</v>
      </c>
      <c r="J861" s="792"/>
      <c r="K861" s="812"/>
      <c r="L861" s="796"/>
      <c r="M861" s="812"/>
      <c r="N861" s="796"/>
      <c r="O861" s="796"/>
    </row>
    <row r="862" spans="3:15">
      <c r="C862" s="788">
        <f>IF(D815="","-",+C861+1)</f>
        <v>2055</v>
      </c>
      <c r="D862" s="736">
        <f t="shared" si="48"/>
        <v>0</v>
      </c>
      <c r="E862" s="789">
        <f t="shared" si="53"/>
        <v>0</v>
      </c>
      <c r="F862" s="736">
        <f t="shared" si="49"/>
        <v>0</v>
      </c>
      <c r="G862" s="794">
        <f t="shared" si="50"/>
        <v>0</v>
      </c>
      <c r="H862" s="795">
        <f t="shared" si="51"/>
        <v>0</v>
      </c>
      <c r="I862" s="792">
        <f t="shared" si="52"/>
        <v>0</v>
      </c>
      <c r="J862" s="792"/>
      <c r="K862" s="812"/>
      <c r="L862" s="796"/>
      <c r="M862" s="812"/>
      <c r="N862" s="796"/>
      <c r="O862" s="796"/>
    </row>
    <row r="863" spans="3:15">
      <c r="C863" s="788">
        <f>IF(D815="","-",+C862+1)</f>
        <v>2056</v>
      </c>
      <c r="D863" s="736">
        <f t="shared" si="48"/>
        <v>0</v>
      </c>
      <c r="E863" s="789">
        <f t="shared" si="53"/>
        <v>0</v>
      </c>
      <c r="F863" s="736">
        <f t="shared" si="49"/>
        <v>0</v>
      </c>
      <c r="G863" s="794">
        <f t="shared" si="50"/>
        <v>0</v>
      </c>
      <c r="H863" s="795">
        <f t="shared" si="51"/>
        <v>0</v>
      </c>
      <c r="I863" s="792">
        <f t="shared" si="52"/>
        <v>0</v>
      </c>
      <c r="J863" s="792"/>
      <c r="K863" s="812"/>
      <c r="L863" s="796"/>
      <c r="M863" s="812"/>
      <c r="N863" s="796"/>
      <c r="O863" s="796"/>
    </row>
    <row r="864" spans="3:15">
      <c r="C864" s="788">
        <f>IF(D815="","-",+C863+1)</f>
        <v>2057</v>
      </c>
      <c r="D864" s="736">
        <f t="shared" si="48"/>
        <v>0</v>
      </c>
      <c r="E864" s="789">
        <f t="shared" si="53"/>
        <v>0</v>
      </c>
      <c r="F864" s="736">
        <f t="shared" si="49"/>
        <v>0</v>
      </c>
      <c r="G864" s="794">
        <f t="shared" si="50"/>
        <v>0</v>
      </c>
      <c r="H864" s="795">
        <f t="shared" si="51"/>
        <v>0</v>
      </c>
      <c r="I864" s="792">
        <f t="shared" si="52"/>
        <v>0</v>
      </c>
      <c r="J864" s="792"/>
      <c r="K864" s="812"/>
      <c r="L864" s="796"/>
      <c r="M864" s="812"/>
      <c r="N864" s="796"/>
      <c r="O864" s="796"/>
    </row>
    <row r="865" spans="3:15">
      <c r="C865" s="788">
        <f>IF(D815="","-",+C864+1)</f>
        <v>2058</v>
      </c>
      <c r="D865" s="736">
        <f t="shared" si="48"/>
        <v>0</v>
      </c>
      <c r="E865" s="789">
        <f t="shared" si="53"/>
        <v>0</v>
      </c>
      <c r="F865" s="736">
        <f t="shared" si="49"/>
        <v>0</v>
      </c>
      <c r="G865" s="794">
        <f t="shared" si="50"/>
        <v>0</v>
      </c>
      <c r="H865" s="795">
        <f t="shared" si="51"/>
        <v>0</v>
      </c>
      <c r="I865" s="792">
        <f t="shared" si="52"/>
        <v>0</v>
      </c>
      <c r="J865" s="792"/>
      <c r="K865" s="812"/>
      <c r="L865" s="796"/>
      <c r="M865" s="812"/>
      <c r="N865" s="796"/>
      <c r="O865" s="796"/>
    </row>
    <row r="866" spans="3:15">
      <c r="C866" s="788">
        <f>IF(D815="","-",+C865+1)</f>
        <v>2059</v>
      </c>
      <c r="D866" s="736">
        <f t="shared" si="48"/>
        <v>0</v>
      </c>
      <c r="E866" s="789">
        <f t="shared" si="53"/>
        <v>0</v>
      </c>
      <c r="F866" s="736">
        <f t="shared" si="49"/>
        <v>0</v>
      </c>
      <c r="G866" s="794">
        <f t="shared" si="50"/>
        <v>0</v>
      </c>
      <c r="H866" s="795">
        <f t="shared" si="51"/>
        <v>0</v>
      </c>
      <c r="I866" s="792">
        <f t="shared" si="52"/>
        <v>0</v>
      </c>
      <c r="J866" s="792"/>
      <c r="K866" s="812"/>
      <c r="L866" s="796"/>
      <c r="M866" s="812"/>
      <c r="N866" s="796"/>
      <c r="O866" s="796"/>
    </row>
    <row r="867" spans="3:15">
      <c r="C867" s="788">
        <f>IF(D815="","-",+C866+1)</f>
        <v>2060</v>
      </c>
      <c r="D867" s="736">
        <f t="shared" si="48"/>
        <v>0</v>
      </c>
      <c r="E867" s="789">
        <f t="shared" si="53"/>
        <v>0</v>
      </c>
      <c r="F867" s="736">
        <f t="shared" si="49"/>
        <v>0</v>
      </c>
      <c r="G867" s="794">
        <f t="shared" si="50"/>
        <v>0</v>
      </c>
      <c r="H867" s="795">
        <f t="shared" si="51"/>
        <v>0</v>
      </c>
      <c r="I867" s="792">
        <f t="shared" si="52"/>
        <v>0</v>
      </c>
      <c r="J867" s="792"/>
      <c r="K867" s="812"/>
      <c r="L867" s="796"/>
      <c r="M867" s="812"/>
      <c r="N867" s="796"/>
      <c r="O867" s="796"/>
    </row>
    <row r="868" spans="3:15">
      <c r="C868" s="788">
        <f>IF(D815="","-",+C867+1)</f>
        <v>2061</v>
      </c>
      <c r="D868" s="736">
        <f t="shared" si="48"/>
        <v>0</v>
      </c>
      <c r="E868" s="789">
        <f t="shared" si="53"/>
        <v>0</v>
      </c>
      <c r="F868" s="736">
        <f t="shared" si="49"/>
        <v>0</v>
      </c>
      <c r="G868" s="794">
        <f t="shared" si="50"/>
        <v>0</v>
      </c>
      <c r="H868" s="795">
        <f t="shared" si="51"/>
        <v>0</v>
      </c>
      <c r="I868" s="792">
        <f t="shared" si="52"/>
        <v>0</v>
      </c>
      <c r="J868" s="792"/>
      <c r="K868" s="812"/>
      <c r="L868" s="796"/>
      <c r="M868" s="812"/>
      <c r="N868" s="796"/>
      <c r="O868" s="796"/>
    </row>
    <row r="869" spans="3:15">
      <c r="C869" s="788">
        <f>IF(D815="","-",+C868+1)</f>
        <v>2062</v>
      </c>
      <c r="D869" s="736">
        <f t="shared" si="48"/>
        <v>0</v>
      </c>
      <c r="E869" s="789">
        <f t="shared" si="53"/>
        <v>0</v>
      </c>
      <c r="F869" s="736">
        <f t="shared" si="49"/>
        <v>0</v>
      </c>
      <c r="G869" s="794">
        <f t="shared" si="50"/>
        <v>0</v>
      </c>
      <c r="H869" s="795">
        <f t="shared" si="51"/>
        <v>0</v>
      </c>
      <c r="I869" s="792">
        <f t="shared" si="52"/>
        <v>0</v>
      </c>
      <c r="J869" s="792"/>
      <c r="K869" s="812"/>
      <c r="L869" s="796"/>
      <c r="M869" s="812"/>
      <c r="N869" s="796"/>
      <c r="O869" s="796"/>
    </row>
    <row r="870" spans="3:15">
      <c r="C870" s="788">
        <f>IF(D815="","-",+C869+1)</f>
        <v>2063</v>
      </c>
      <c r="D870" s="736">
        <f t="shared" si="48"/>
        <v>0</v>
      </c>
      <c r="E870" s="789">
        <f t="shared" si="53"/>
        <v>0</v>
      </c>
      <c r="F870" s="736">
        <f t="shared" si="49"/>
        <v>0</v>
      </c>
      <c r="G870" s="794">
        <f t="shared" si="50"/>
        <v>0</v>
      </c>
      <c r="H870" s="795">
        <f t="shared" si="51"/>
        <v>0</v>
      </c>
      <c r="I870" s="792">
        <f t="shared" si="52"/>
        <v>0</v>
      </c>
      <c r="J870" s="792"/>
      <c r="K870" s="812"/>
      <c r="L870" s="796"/>
      <c r="M870" s="812"/>
      <c r="N870" s="796"/>
      <c r="O870" s="796"/>
    </row>
    <row r="871" spans="3:15">
      <c r="C871" s="788">
        <f>IF(D815="","-",+C870+1)</f>
        <v>2064</v>
      </c>
      <c r="D871" s="736">
        <f t="shared" si="48"/>
        <v>0</v>
      </c>
      <c r="E871" s="789">
        <f t="shared" si="53"/>
        <v>0</v>
      </c>
      <c r="F871" s="736">
        <f t="shared" si="49"/>
        <v>0</v>
      </c>
      <c r="G871" s="794">
        <f t="shared" si="50"/>
        <v>0</v>
      </c>
      <c r="H871" s="795">
        <f t="shared" si="51"/>
        <v>0</v>
      </c>
      <c r="I871" s="792">
        <f t="shared" si="52"/>
        <v>0</v>
      </c>
      <c r="J871" s="792"/>
      <c r="K871" s="812"/>
      <c r="L871" s="796"/>
      <c r="M871" s="812"/>
      <c r="N871" s="796"/>
      <c r="O871" s="796"/>
    </row>
    <row r="872" spans="3:15">
      <c r="C872" s="788">
        <f>IF(D815="","-",+C871+1)</f>
        <v>2065</v>
      </c>
      <c r="D872" s="736">
        <f t="shared" si="48"/>
        <v>0</v>
      </c>
      <c r="E872" s="789">
        <f t="shared" si="53"/>
        <v>0</v>
      </c>
      <c r="F872" s="736">
        <f t="shared" si="49"/>
        <v>0</v>
      </c>
      <c r="G872" s="794">
        <f t="shared" si="50"/>
        <v>0</v>
      </c>
      <c r="H872" s="795">
        <f t="shared" si="51"/>
        <v>0</v>
      </c>
      <c r="I872" s="792">
        <f t="shared" si="52"/>
        <v>0</v>
      </c>
      <c r="J872" s="792"/>
      <c r="K872" s="812"/>
      <c r="L872" s="796"/>
      <c r="M872" s="812"/>
      <c r="N872" s="796"/>
      <c r="O872" s="796"/>
    </row>
    <row r="873" spans="3:15">
      <c r="C873" s="788">
        <f>IF(D815="","-",+C872+1)</f>
        <v>2066</v>
      </c>
      <c r="D873" s="736">
        <f t="shared" si="48"/>
        <v>0</v>
      </c>
      <c r="E873" s="789">
        <f t="shared" si="53"/>
        <v>0</v>
      </c>
      <c r="F873" s="736">
        <f t="shared" si="49"/>
        <v>0</v>
      </c>
      <c r="G873" s="794">
        <f t="shared" si="50"/>
        <v>0</v>
      </c>
      <c r="H873" s="795">
        <f t="shared" si="51"/>
        <v>0</v>
      </c>
      <c r="I873" s="792">
        <f t="shared" si="52"/>
        <v>0</v>
      </c>
      <c r="J873" s="792"/>
      <c r="K873" s="812"/>
      <c r="L873" s="796"/>
      <c r="M873" s="812"/>
      <c r="N873" s="796"/>
      <c r="O873" s="796"/>
    </row>
    <row r="874" spans="3:15">
      <c r="C874" s="788">
        <f>IF(D815="","-",+C873+1)</f>
        <v>2067</v>
      </c>
      <c r="D874" s="736">
        <f t="shared" si="48"/>
        <v>0</v>
      </c>
      <c r="E874" s="789">
        <f t="shared" si="53"/>
        <v>0</v>
      </c>
      <c r="F874" s="736">
        <f t="shared" si="49"/>
        <v>0</v>
      </c>
      <c r="G874" s="794">
        <f t="shared" si="50"/>
        <v>0</v>
      </c>
      <c r="H874" s="795">
        <f t="shared" si="51"/>
        <v>0</v>
      </c>
      <c r="I874" s="792">
        <f t="shared" si="52"/>
        <v>0</v>
      </c>
      <c r="J874" s="792"/>
      <c r="K874" s="812"/>
      <c r="L874" s="796"/>
      <c r="M874" s="812"/>
      <c r="N874" s="796"/>
      <c r="O874" s="796"/>
    </row>
    <row r="875" spans="3:15">
      <c r="C875" s="788">
        <f>IF(D815="","-",+C874+1)</f>
        <v>2068</v>
      </c>
      <c r="D875" s="736">
        <f t="shared" si="48"/>
        <v>0</v>
      </c>
      <c r="E875" s="789">
        <f t="shared" si="53"/>
        <v>0</v>
      </c>
      <c r="F875" s="736">
        <f t="shared" si="49"/>
        <v>0</v>
      </c>
      <c r="G875" s="794">
        <f t="shared" si="50"/>
        <v>0</v>
      </c>
      <c r="H875" s="795">
        <f t="shared" si="51"/>
        <v>0</v>
      </c>
      <c r="I875" s="792">
        <f t="shared" si="52"/>
        <v>0</v>
      </c>
      <c r="J875" s="792"/>
      <c r="K875" s="812"/>
      <c r="L875" s="796"/>
      <c r="M875" s="812"/>
      <c r="N875" s="796"/>
      <c r="O875" s="796"/>
    </row>
    <row r="876" spans="3:15">
      <c r="C876" s="788">
        <f>IF(D815="","-",+C875+1)</f>
        <v>2069</v>
      </c>
      <c r="D876" s="736">
        <f t="shared" si="48"/>
        <v>0</v>
      </c>
      <c r="E876" s="789">
        <f t="shared" si="53"/>
        <v>0</v>
      </c>
      <c r="F876" s="736">
        <f t="shared" si="49"/>
        <v>0</v>
      </c>
      <c r="G876" s="794">
        <f t="shared" si="50"/>
        <v>0</v>
      </c>
      <c r="H876" s="795">
        <f t="shared" si="51"/>
        <v>0</v>
      </c>
      <c r="I876" s="792">
        <f t="shared" si="52"/>
        <v>0</v>
      </c>
      <c r="J876" s="792"/>
      <c r="K876" s="812"/>
      <c r="L876" s="796"/>
      <c r="M876" s="812"/>
      <c r="N876" s="796"/>
      <c r="O876" s="796"/>
    </row>
    <row r="877" spans="3:15">
      <c r="C877" s="788">
        <f>IF(D815="","-",+C876+1)</f>
        <v>2070</v>
      </c>
      <c r="D877" s="736">
        <f t="shared" si="48"/>
        <v>0</v>
      </c>
      <c r="E877" s="789">
        <f t="shared" si="53"/>
        <v>0</v>
      </c>
      <c r="F877" s="736">
        <f t="shared" si="49"/>
        <v>0</v>
      </c>
      <c r="G877" s="794">
        <f t="shared" si="50"/>
        <v>0</v>
      </c>
      <c r="H877" s="795">
        <f t="shared" si="51"/>
        <v>0</v>
      </c>
      <c r="I877" s="792">
        <f t="shared" si="52"/>
        <v>0</v>
      </c>
      <c r="J877" s="792"/>
      <c r="K877" s="812"/>
      <c r="L877" s="796"/>
      <c r="M877" s="812"/>
      <c r="N877" s="796"/>
      <c r="O877" s="796"/>
    </row>
    <row r="878" spans="3:15">
      <c r="C878" s="788">
        <f>IF(D815="","-",+C877+1)</f>
        <v>2071</v>
      </c>
      <c r="D878" s="736">
        <f t="shared" si="48"/>
        <v>0</v>
      </c>
      <c r="E878" s="789">
        <f t="shared" si="53"/>
        <v>0</v>
      </c>
      <c r="F878" s="736">
        <f t="shared" si="49"/>
        <v>0</v>
      </c>
      <c r="G878" s="794">
        <f t="shared" si="50"/>
        <v>0</v>
      </c>
      <c r="H878" s="795">
        <f t="shared" si="51"/>
        <v>0</v>
      </c>
      <c r="I878" s="792">
        <f t="shared" si="52"/>
        <v>0</v>
      </c>
      <c r="J878" s="792"/>
      <c r="K878" s="812"/>
      <c r="L878" s="796"/>
      <c r="M878" s="812"/>
      <c r="N878" s="796"/>
      <c r="O878" s="796"/>
    </row>
    <row r="879" spans="3:15">
      <c r="C879" s="788">
        <f>IF(D815="","-",+C878+1)</f>
        <v>2072</v>
      </c>
      <c r="D879" s="736">
        <f t="shared" si="48"/>
        <v>0</v>
      </c>
      <c r="E879" s="789">
        <f t="shared" si="53"/>
        <v>0</v>
      </c>
      <c r="F879" s="736">
        <f t="shared" si="49"/>
        <v>0</v>
      </c>
      <c r="G879" s="794">
        <f t="shared" si="50"/>
        <v>0</v>
      </c>
      <c r="H879" s="795">
        <f t="shared" si="51"/>
        <v>0</v>
      </c>
      <c r="I879" s="792">
        <f t="shared" si="52"/>
        <v>0</v>
      </c>
      <c r="J879" s="792"/>
      <c r="K879" s="812"/>
      <c r="L879" s="796"/>
      <c r="M879" s="812"/>
      <c r="N879" s="796"/>
      <c r="O879" s="796"/>
    </row>
    <row r="880" spans="3:15" ht="13.5" thickBot="1">
      <c r="C880" s="798">
        <f>IF(D815="","-",+C879+1)</f>
        <v>2073</v>
      </c>
      <c r="D880" s="799">
        <f t="shared" si="48"/>
        <v>0</v>
      </c>
      <c r="E880" s="800">
        <f t="shared" si="53"/>
        <v>0</v>
      </c>
      <c r="F880" s="799">
        <f t="shared" si="49"/>
        <v>0</v>
      </c>
      <c r="G880" s="801">
        <f t="shared" si="50"/>
        <v>0</v>
      </c>
      <c r="H880" s="801">
        <f t="shared" si="51"/>
        <v>0</v>
      </c>
      <c r="I880" s="802">
        <f t="shared" si="52"/>
        <v>0</v>
      </c>
      <c r="J880" s="792"/>
      <c r="K880" s="813"/>
      <c r="L880" s="803"/>
      <c r="M880" s="813"/>
      <c r="N880" s="803"/>
      <c r="O880" s="803"/>
    </row>
    <row r="881" spans="1:16">
      <c r="C881" s="736" t="s">
        <v>83</v>
      </c>
      <c r="D881" s="730"/>
      <c r="E881" s="730">
        <f>SUM(E821:E880)</f>
        <v>75907131.959999993</v>
      </c>
      <c r="F881" s="730"/>
      <c r="G881" s="730">
        <f>SUM(G821:G880)</f>
        <v>245587168.18862915</v>
      </c>
      <c r="H881" s="730">
        <f>SUM(H821:H880)</f>
        <v>245587168.18862915</v>
      </c>
      <c r="I881" s="730">
        <f>SUM(I821:I880)</f>
        <v>0</v>
      </c>
      <c r="J881" s="730"/>
      <c r="K881" s="730"/>
      <c r="L881" s="730"/>
      <c r="M881" s="730"/>
      <c r="N881" s="730"/>
      <c r="O881" s="314"/>
    </row>
    <row r="882" spans="1:16">
      <c r="D882" s="538"/>
      <c r="E882" s="314"/>
      <c r="F882" s="314"/>
      <c r="G882" s="314"/>
      <c r="H882" s="708"/>
      <c r="I882" s="708"/>
      <c r="J882" s="730"/>
      <c r="K882" s="708"/>
      <c r="L882" s="708"/>
      <c r="M882" s="708"/>
      <c r="N882" s="708"/>
      <c r="O882" s="314"/>
    </row>
    <row r="883" spans="1:16">
      <c r="C883" s="314" t="s">
        <v>13</v>
      </c>
      <c r="D883" s="538"/>
      <c r="E883" s="314"/>
      <c r="F883" s="314"/>
      <c r="G883" s="314"/>
      <c r="H883" s="708"/>
      <c r="I883" s="708"/>
      <c r="J883" s="730"/>
      <c r="K883" s="708"/>
      <c r="L883" s="708"/>
      <c r="M883" s="708"/>
      <c r="N883" s="708"/>
      <c r="O883" s="314"/>
    </row>
    <row r="884" spans="1:16">
      <c r="C884" s="314"/>
      <c r="D884" s="538"/>
      <c r="E884" s="314"/>
      <c r="F884" s="314"/>
      <c r="G884" s="314"/>
      <c r="H884" s="708"/>
      <c r="I884" s="708"/>
      <c r="J884" s="730"/>
      <c r="K884" s="708"/>
      <c r="L884" s="708"/>
      <c r="M884" s="708"/>
      <c r="N884" s="708"/>
      <c r="O884" s="314"/>
    </row>
    <row r="885" spans="1:16">
      <c r="C885" s="749" t="s">
        <v>14</v>
      </c>
      <c r="D885" s="736"/>
      <c r="E885" s="736"/>
      <c r="F885" s="736"/>
      <c r="G885" s="730"/>
      <c r="H885" s="730"/>
      <c r="I885" s="804"/>
      <c r="J885" s="804"/>
      <c r="K885" s="804"/>
      <c r="L885" s="804"/>
      <c r="M885" s="804"/>
      <c r="N885" s="804"/>
      <c r="O885" s="314"/>
    </row>
    <row r="886" spans="1:16">
      <c r="C886" s="735" t="s">
        <v>263</v>
      </c>
      <c r="D886" s="736"/>
      <c r="E886" s="736"/>
      <c r="F886" s="736"/>
      <c r="G886" s="730"/>
      <c r="H886" s="730"/>
      <c r="I886" s="804"/>
      <c r="J886" s="804"/>
      <c r="K886" s="804"/>
      <c r="L886" s="804"/>
      <c r="M886" s="804"/>
      <c r="N886" s="804"/>
      <c r="O886" s="314"/>
    </row>
    <row r="887" spans="1:16">
      <c r="C887" s="735" t="s">
        <v>84</v>
      </c>
      <c r="D887" s="736"/>
      <c r="E887" s="736"/>
      <c r="F887" s="736"/>
      <c r="G887" s="730"/>
      <c r="H887" s="730"/>
      <c r="I887" s="804"/>
      <c r="J887" s="804"/>
      <c r="K887" s="804"/>
      <c r="L887" s="804"/>
      <c r="M887" s="804"/>
      <c r="N887" s="804"/>
      <c r="O887" s="314"/>
    </row>
    <row r="888" spans="1:16">
      <c r="C888" s="735"/>
      <c r="D888" s="736"/>
      <c r="E888" s="736"/>
      <c r="F888" s="736"/>
      <c r="G888" s="730"/>
      <c r="H888" s="730"/>
      <c r="I888" s="804"/>
      <c r="J888" s="804"/>
      <c r="K888" s="804"/>
      <c r="L888" s="804"/>
      <c r="M888" s="804"/>
      <c r="N888" s="804"/>
      <c r="O888" s="314"/>
    </row>
    <row r="889" spans="1:16">
      <c r="C889" s="1526" t="s">
        <v>6</v>
      </c>
      <c r="D889" s="1526"/>
      <c r="E889" s="1526"/>
      <c r="F889" s="1526"/>
      <c r="G889" s="1526"/>
      <c r="H889" s="1526"/>
      <c r="I889" s="1526"/>
      <c r="J889" s="1526"/>
      <c r="K889" s="1526"/>
      <c r="L889" s="1526"/>
      <c r="M889" s="1526"/>
      <c r="N889" s="1526"/>
      <c r="O889" s="1526"/>
    </row>
    <row r="890" spans="1:16">
      <c r="C890" s="1526"/>
      <c r="D890" s="1526"/>
      <c r="E890" s="1526"/>
      <c r="F890" s="1526"/>
      <c r="G890" s="1526"/>
      <c r="H890" s="1526"/>
      <c r="I890" s="1526"/>
      <c r="J890" s="1526"/>
      <c r="K890" s="1526"/>
      <c r="L890" s="1526"/>
      <c r="M890" s="1526"/>
      <c r="N890" s="1526"/>
      <c r="O890" s="1526"/>
    </row>
    <row r="891" spans="1:16">
      <c r="C891" s="735"/>
      <c r="D891" s="736"/>
      <c r="E891" s="736"/>
      <c r="F891" s="736"/>
      <c r="G891" s="730"/>
      <c r="H891" s="730"/>
    </row>
    <row r="892" spans="1:16" ht="20.25">
      <c r="A892" s="737" t="str">
        <f>""&amp;A816&amp;" Worksheet J -  ATRR PROJECTED Calculation for PJM Projects Charged to Benefiting Zones"</f>
        <v xml:space="preserve"> Worksheet J -  ATRR PROJECTED Calculation for PJM Projects Charged to Benefiting Zones</v>
      </c>
      <c r="B892" s="348"/>
      <c r="C892" s="725"/>
      <c r="D892" s="538"/>
      <c r="E892" s="314"/>
      <c r="F892" s="707"/>
      <c r="G892" s="314"/>
      <c r="H892" s="708"/>
      <c r="K892" s="564"/>
      <c r="L892" s="564"/>
      <c r="M892" s="564"/>
      <c r="N892" s="653" t="str">
        <f>"Page "&amp;SUM(P$8:P892)&amp;" of "</f>
        <v xml:space="preserve">Page 11 of </v>
      </c>
      <c r="O892" s="654">
        <f>COUNT(P$8:P$56653)</f>
        <v>12</v>
      </c>
      <c r="P892" s="738">
        <v>1</v>
      </c>
    </row>
    <row r="893" spans="1:16">
      <c r="B893" s="348"/>
      <c r="C893" s="314"/>
      <c r="D893" s="538"/>
      <c r="E893" s="314"/>
      <c r="F893" s="314"/>
      <c r="G893" s="314"/>
      <c r="H893" s="708"/>
      <c r="I893" s="314"/>
      <c r="J893" s="427"/>
      <c r="K893" s="314"/>
      <c r="L893" s="314"/>
      <c r="M893" s="314"/>
      <c r="N893" s="314"/>
      <c r="O893" s="314"/>
      <c r="P893" s="427"/>
    </row>
    <row r="894" spans="1:16" ht="18">
      <c r="B894" s="657" t="s">
        <v>464</v>
      </c>
      <c r="C894" s="739" t="s">
        <v>85</v>
      </c>
      <c r="D894" s="538"/>
      <c r="E894" s="314"/>
      <c r="F894" s="314"/>
      <c r="G894" s="314"/>
      <c r="H894" s="708"/>
      <c r="I894" s="708"/>
      <c r="J894" s="730"/>
      <c r="K894" s="708"/>
      <c r="L894" s="708"/>
      <c r="M894" s="708"/>
      <c r="N894" s="708"/>
      <c r="O894" s="314"/>
    </row>
    <row r="895" spans="1:16" ht="18.75">
      <c r="B895" s="657"/>
      <c r="C895" s="656"/>
      <c r="D895" s="538"/>
      <c r="E895" s="314"/>
      <c r="F895" s="314"/>
      <c r="G895" s="314"/>
      <c r="H895" s="708"/>
      <c r="I895" s="708"/>
      <c r="J895" s="730"/>
      <c r="K895" s="708"/>
      <c r="L895" s="708"/>
      <c r="M895" s="708"/>
      <c r="N895" s="708"/>
      <c r="O895" s="314"/>
    </row>
    <row r="896" spans="1:16" ht="18.75">
      <c r="B896" s="657"/>
      <c r="C896" s="656" t="s">
        <v>86</v>
      </c>
      <c r="D896" s="538"/>
      <c r="E896" s="314"/>
      <c r="F896" s="314"/>
      <c r="G896" s="314"/>
      <c r="H896" s="708"/>
      <c r="I896" s="708"/>
      <c r="J896" s="730"/>
      <c r="K896" s="708"/>
      <c r="L896" s="708"/>
      <c r="M896" s="708"/>
      <c r="N896" s="708"/>
      <c r="O896" s="314"/>
    </row>
    <row r="897" spans="2:15" ht="15.75" thickBot="1">
      <c r="C897" s="240"/>
      <c r="D897" s="538"/>
      <c r="E897" s="314"/>
      <c r="F897" s="314"/>
      <c r="G897" s="314"/>
      <c r="H897" s="708"/>
      <c r="I897" s="708"/>
      <c r="J897" s="730"/>
      <c r="K897" s="708"/>
      <c r="L897" s="708"/>
      <c r="M897" s="708"/>
      <c r="N897" s="708"/>
      <c r="O897" s="314"/>
    </row>
    <row r="898" spans="2:15" ht="15.75">
      <c r="C898" s="659" t="s">
        <v>87</v>
      </c>
      <c r="D898" s="538"/>
      <c r="E898" s="314"/>
      <c r="F898" s="314"/>
      <c r="G898" s="806"/>
      <c r="H898" s="314" t="s">
        <v>66</v>
      </c>
      <c r="I898" s="314"/>
      <c r="J898" s="427"/>
      <c r="K898" s="740" t="s">
        <v>91</v>
      </c>
      <c r="L898" s="741"/>
      <c r="M898" s="742"/>
      <c r="N898" s="743">
        <f>IF(I904=0,0,VLOOKUP(I904,C911:O970,5))</f>
        <v>1413906.7224481818</v>
      </c>
      <c r="O898" s="314"/>
    </row>
    <row r="899" spans="2:15" ht="15.75">
      <c r="C899" s="659"/>
      <c r="D899" s="538"/>
      <c r="E899" s="314"/>
      <c r="F899" s="314"/>
      <c r="G899" s="314"/>
      <c r="H899" s="744"/>
      <c r="I899" s="744"/>
      <c r="J899" s="745"/>
      <c r="K899" s="746" t="s">
        <v>92</v>
      </c>
      <c r="L899" s="747"/>
      <c r="M899" s="427"/>
      <c r="N899" s="748">
        <f>IF(I904=0,0,VLOOKUP(I904,C911:O970,6))</f>
        <v>1413906.7224481818</v>
      </c>
      <c r="O899" s="314"/>
    </row>
    <row r="900" spans="2:15" ht="13.5" thickBot="1">
      <c r="C900" s="749" t="s">
        <v>88</v>
      </c>
      <c r="D900" s="1527" t="s">
        <v>820</v>
      </c>
      <c r="E900" s="1527"/>
      <c r="F900" s="1527"/>
      <c r="G900" s="1527"/>
      <c r="H900" s="1527"/>
      <c r="I900" s="1527"/>
      <c r="J900" s="730"/>
      <c r="K900" s="750" t="s">
        <v>230</v>
      </c>
      <c r="L900" s="751"/>
      <c r="M900" s="751"/>
      <c r="N900" s="752">
        <f>+N899-N898</f>
        <v>0</v>
      </c>
      <c r="O900" s="314"/>
    </row>
    <row r="901" spans="2:15">
      <c r="C901" s="753"/>
      <c r="D901" s="754"/>
      <c r="E901" s="734"/>
      <c r="F901" s="734"/>
      <c r="G901" s="755"/>
      <c r="H901" s="708"/>
      <c r="I901" s="708"/>
      <c r="J901" s="730"/>
      <c r="K901" s="708"/>
      <c r="L901" s="708"/>
      <c r="M901" s="708"/>
      <c r="N901" s="708"/>
      <c r="O901" s="314"/>
    </row>
    <row r="902" spans="2:15" ht="13.5" thickBot="1">
      <c r="C902" s="756"/>
      <c r="D902" s="757"/>
      <c r="E902" s="755"/>
      <c r="F902" s="755"/>
      <c r="G902" s="755"/>
      <c r="H902" s="755"/>
      <c r="I902" s="755"/>
      <c r="J902" s="758"/>
      <c r="K902" s="755"/>
      <c r="L902" s="755"/>
      <c r="M902" s="755"/>
      <c r="N902" s="755"/>
      <c r="O902" s="348"/>
    </row>
    <row r="903" spans="2:15" ht="13.5" thickBot="1">
      <c r="C903" s="759" t="s">
        <v>89</v>
      </c>
      <c r="D903" s="760"/>
      <c r="E903" s="760"/>
      <c r="F903" s="760"/>
      <c r="G903" s="760"/>
      <c r="H903" s="760"/>
      <c r="I903" s="761"/>
      <c r="J903" s="762"/>
      <c r="K903" s="314"/>
      <c r="L903" s="314"/>
      <c r="M903" s="314"/>
      <c r="N903" s="314"/>
      <c r="O903" s="763"/>
    </row>
    <row r="904" spans="2:15" ht="15">
      <c r="C904" s="764" t="s">
        <v>67</v>
      </c>
      <c r="D904" s="808">
        <v>12409951.040000001</v>
      </c>
      <c r="E904" s="725" t="s">
        <v>68</v>
      </c>
      <c r="G904" s="765"/>
      <c r="H904" s="765"/>
      <c r="I904" s="766">
        <f>$L$26</f>
        <v>2025</v>
      </c>
      <c r="J904" s="554"/>
      <c r="K904" s="1528" t="s">
        <v>239</v>
      </c>
      <c r="L904" s="1528"/>
      <c r="M904" s="1528"/>
      <c r="N904" s="1528"/>
      <c r="O904" s="1528"/>
    </row>
    <row r="905" spans="2:15">
      <c r="C905" s="764" t="s">
        <v>70</v>
      </c>
      <c r="D905" s="809">
        <v>2016</v>
      </c>
      <c r="E905" s="764" t="s">
        <v>71</v>
      </c>
      <c r="F905" s="765"/>
      <c r="H905" s="173"/>
      <c r="I905" s="810">
        <f>IF(G898="",0,$F$17)</f>
        <v>0</v>
      </c>
      <c r="J905" s="767"/>
      <c r="K905" s="730" t="s">
        <v>239</v>
      </c>
    </row>
    <row r="906" spans="2:15">
      <c r="C906" s="764" t="s">
        <v>72</v>
      </c>
      <c r="D906" s="808">
        <v>11</v>
      </c>
      <c r="E906" s="764" t="s">
        <v>73</v>
      </c>
      <c r="F906" s="765"/>
      <c r="H906" s="173"/>
      <c r="I906" s="768">
        <f>$G$70</f>
        <v>0.11318296473052861</v>
      </c>
      <c r="J906" s="769"/>
      <c r="K906" s="173" t="str">
        <f>"          INPUT PROJECTED ARR (WITH &amp; WITHOUT INCENTIVES) FROM EACH PRIOR YEAR"</f>
        <v xml:space="preserve">          INPUT PROJECTED ARR (WITH &amp; WITHOUT INCENTIVES) FROM EACH PRIOR YEAR</v>
      </c>
    </row>
    <row r="907" spans="2:15">
      <c r="C907" s="764" t="s">
        <v>74</v>
      </c>
      <c r="D907" s="770">
        <f>$G$79</f>
        <v>38</v>
      </c>
      <c r="E907" s="764" t="s">
        <v>75</v>
      </c>
      <c r="F907" s="765"/>
      <c r="H907" s="173"/>
      <c r="I907" s="768">
        <f>IF(G898="",I906,$G$69)</f>
        <v>0.11318296473052861</v>
      </c>
      <c r="J907" s="771"/>
      <c r="K907" s="173" t="s">
        <v>152</v>
      </c>
    </row>
    <row r="908" spans="2:15" ht="13.5" thickBot="1">
      <c r="C908" s="764" t="s">
        <v>76</v>
      </c>
      <c r="D908" s="807" t="s">
        <v>810</v>
      </c>
      <c r="E908" s="772" t="s">
        <v>77</v>
      </c>
      <c r="F908" s="773"/>
      <c r="G908" s="774"/>
      <c r="H908" s="774"/>
      <c r="I908" s="752">
        <f>IF(D904=0,0,D904/D907)</f>
        <v>326577.65894736844</v>
      </c>
      <c r="J908" s="730"/>
      <c r="K908" s="730" t="s">
        <v>158</v>
      </c>
      <c r="L908" s="730"/>
      <c r="M908" s="730"/>
      <c r="N908" s="730"/>
      <c r="O908" s="427"/>
    </row>
    <row r="909" spans="2:15" ht="38.25">
      <c r="B909" s="845"/>
      <c r="C909" s="775" t="s">
        <v>67</v>
      </c>
      <c r="D909" s="776" t="s">
        <v>78</v>
      </c>
      <c r="E909" s="777" t="s">
        <v>79</v>
      </c>
      <c r="F909" s="776" t="s">
        <v>80</v>
      </c>
      <c r="G909" s="777" t="s">
        <v>151</v>
      </c>
      <c r="H909" s="778" t="s">
        <v>151</v>
      </c>
      <c r="I909" s="775" t="s">
        <v>90</v>
      </c>
      <c r="J909" s="779"/>
      <c r="K909" s="777" t="s">
        <v>160</v>
      </c>
      <c r="L909" s="780"/>
      <c r="M909" s="777" t="s">
        <v>160</v>
      </c>
      <c r="N909" s="780"/>
      <c r="O909" s="780"/>
    </row>
    <row r="910" spans="2:15" ht="13.5" thickBot="1">
      <c r="C910" s="781" t="s">
        <v>467</v>
      </c>
      <c r="D910" s="782" t="s">
        <v>468</v>
      </c>
      <c r="E910" s="781" t="s">
        <v>361</v>
      </c>
      <c r="F910" s="782" t="s">
        <v>468</v>
      </c>
      <c r="G910" s="783" t="s">
        <v>93</v>
      </c>
      <c r="H910" s="784" t="s">
        <v>95</v>
      </c>
      <c r="I910" s="785" t="s">
        <v>15</v>
      </c>
      <c r="J910" s="786"/>
      <c r="K910" s="783" t="s">
        <v>82</v>
      </c>
      <c r="L910" s="787"/>
      <c r="M910" s="783" t="s">
        <v>95</v>
      </c>
      <c r="N910" s="787"/>
      <c r="O910" s="787"/>
    </row>
    <row r="911" spans="2:15">
      <c r="C911" s="788">
        <f>IF(D905= "","-",D905)</f>
        <v>2016</v>
      </c>
      <c r="D911" s="736">
        <f>+D904</f>
        <v>12409951.040000001</v>
      </c>
      <c r="E911" s="789">
        <f>+I908/12*(12-D906)</f>
        <v>27214.804912280702</v>
      </c>
      <c r="F911" s="736">
        <f>+D911-E911</f>
        <v>12382736.235087721</v>
      </c>
      <c r="G911" s="999">
        <f>+$I$96*((D911+F911)/2)+E911</f>
        <v>1430269.7296279203</v>
      </c>
      <c r="H911" s="1000">
        <f>$I$97*((D911+F911)/2)+E911</f>
        <v>1430269.7296279203</v>
      </c>
      <c r="I911" s="792">
        <f>+H911-G911</f>
        <v>0</v>
      </c>
      <c r="J911" s="792"/>
      <c r="K911" s="811"/>
      <c r="L911" s="793"/>
      <c r="M911" s="811"/>
      <c r="N911" s="793"/>
      <c r="O911" s="793"/>
    </row>
    <row r="912" spans="2:15">
      <c r="C912" s="788">
        <f>IF(D905="","-",+C911+1)</f>
        <v>2017</v>
      </c>
      <c r="D912" s="736">
        <f t="shared" ref="D912:D970" si="54">F911</f>
        <v>12382736.235087721</v>
      </c>
      <c r="E912" s="789">
        <f>IF(D912&gt;$I$908,$I$908,D912)</f>
        <v>326577.65894736844</v>
      </c>
      <c r="F912" s="736">
        <f t="shared" ref="F912:F970" si="55">+D912-E912</f>
        <v>12056158.576140352</v>
      </c>
      <c r="G912" s="794">
        <f t="shared" ref="G912:G970" si="56">+$I$96*((D912+F912)/2)+E912</f>
        <v>1709610.9436835311</v>
      </c>
      <c r="H912" s="795">
        <f t="shared" ref="H912:H970" si="57">$I$97*((D912+F912)/2)+E912</f>
        <v>1709610.9436835311</v>
      </c>
      <c r="I912" s="792">
        <f t="shared" ref="I912:I970" si="58">+H912-G912</f>
        <v>0</v>
      </c>
      <c r="J912" s="792"/>
      <c r="K912" s="812">
        <v>781130</v>
      </c>
      <c r="L912" s="796"/>
      <c r="M912" s="812">
        <v>781130</v>
      </c>
      <c r="N912" s="796"/>
      <c r="O912" s="796"/>
    </row>
    <row r="913" spans="3:15">
      <c r="C913" s="1315">
        <f>IF(D905="","-",+C912+1)</f>
        <v>2018</v>
      </c>
      <c r="D913" s="736">
        <f t="shared" si="54"/>
        <v>12056158.576140352</v>
      </c>
      <c r="E913" s="789">
        <f t="shared" ref="E913:E970" si="59">IF(D913&gt;$I$908,$I$908,D913)</f>
        <v>326577.65894736844</v>
      </c>
      <c r="F913" s="736">
        <f t="shared" si="55"/>
        <v>11729580.917192983</v>
      </c>
      <c r="G913" s="794">
        <f t="shared" si="56"/>
        <v>1672647.9160291124</v>
      </c>
      <c r="H913" s="795">
        <f t="shared" si="57"/>
        <v>1672647.9160291124</v>
      </c>
      <c r="I913" s="792">
        <f t="shared" si="58"/>
        <v>0</v>
      </c>
      <c r="J913" s="792"/>
      <c r="K913" s="812">
        <v>1367423</v>
      </c>
      <c r="L913" s="796"/>
      <c r="M913" s="812">
        <v>1367423</v>
      </c>
      <c r="N913" s="796"/>
      <c r="O913" s="796"/>
    </row>
    <row r="914" spans="3:15">
      <c r="C914" s="1315">
        <f>IF(D905="","-",+C913+1)</f>
        <v>2019</v>
      </c>
      <c r="D914" s="736">
        <f t="shared" si="54"/>
        <v>11729580.917192983</v>
      </c>
      <c r="E914" s="789">
        <f t="shared" si="59"/>
        <v>326577.65894736844</v>
      </c>
      <c r="F914" s="736">
        <f t="shared" si="55"/>
        <v>11403003.258245613</v>
      </c>
      <c r="G914" s="794">
        <f t="shared" si="56"/>
        <v>1635684.8883746939</v>
      </c>
      <c r="H914" s="795">
        <f t="shared" si="57"/>
        <v>1635684.8883746939</v>
      </c>
      <c r="I914" s="792">
        <f t="shared" si="58"/>
        <v>0</v>
      </c>
      <c r="J914" s="792"/>
      <c r="K914" s="812">
        <v>1472315.398562321</v>
      </c>
      <c r="L914" s="796"/>
      <c r="M914" s="812">
        <v>1472315.398562321</v>
      </c>
      <c r="N914" s="796"/>
      <c r="O914" s="796"/>
    </row>
    <row r="915" spans="3:15">
      <c r="C915" s="1315">
        <f>IF(D905="","-",+C914+1)</f>
        <v>2020</v>
      </c>
      <c r="D915" s="736">
        <f t="shared" si="54"/>
        <v>11403003.258245613</v>
      </c>
      <c r="E915" s="789">
        <f t="shared" si="59"/>
        <v>326577.65894736844</v>
      </c>
      <c r="F915" s="736">
        <f t="shared" si="55"/>
        <v>11076425.599298244</v>
      </c>
      <c r="G915" s="794">
        <f t="shared" si="56"/>
        <v>1598721.860720275</v>
      </c>
      <c r="H915" s="795">
        <f t="shared" si="57"/>
        <v>1598721.860720275</v>
      </c>
      <c r="I915" s="792">
        <f t="shared" si="58"/>
        <v>0</v>
      </c>
      <c r="J915" s="792"/>
      <c r="K915" s="812">
        <v>1462759.7351371858</v>
      </c>
      <c r="L915" s="796"/>
      <c r="M915" s="812">
        <v>1462759.7351371858</v>
      </c>
      <c r="N915" s="796"/>
      <c r="O915" s="796"/>
    </row>
    <row r="916" spans="3:15">
      <c r="C916" s="1315">
        <f>IF(D905="","-",+C915+1)</f>
        <v>2021</v>
      </c>
      <c r="D916" s="736">
        <f t="shared" si="54"/>
        <v>11076425.599298244</v>
      </c>
      <c r="E916" s="789">
        <f t="shared" si="59"/>
        <v>326577.65894736844</v>
      </c>
      <c r="F916" s="736">
        <f t="shared" si="55"/>
        <v>10749847.940350875</v>
      </c>
      <c r="G916" s="794">
        <f t="shared" si="56"/>
        <v>1561758.8330658565</v>
      </c>
      <c r="H916" s="795">
        <f t="shared" si="57"/>
        <v>1561758.8330658565</v>
      </c>
      <c r="I916" s="792">
        <f t="shared" si="58"/>
        <v>0</v>
      </c>
      <c r="J916" s="792"/>
      <c r="K916" s="812">
        <v>1473668.4959205973</v>
      </c>
      <c r="L916" s="796"/>
      <c r="M916" s="812">
        <v>1473668.4959205973</v>
      </c>
      <c r="N916" s="796"/>
      <c r="O916" s="796"/>
    </row>
    <row r="917" spans="3:15">
      <c r="C917" s="1315">
        <f>IF(D905="","-",+C916+1)</f>
        <v>2022</v>
      </c>
      <c r="D917" s="736">
        <f t="shared" si="54"/>
        <v>10749847.940350875</v>
      </c>
      <c r="E917" s="789">
        <f t="shared" si="59"/>
        <v>326577.65894736844</v>
      </c>
      <c r="F917" s="736">
        <f t="shared" si="55"/>
        <v>10423270.281403506</v>
      </c>
      <c r="G917" s="794">
        <f t="shared" si="56"/>
        <v>1524795.8054114378</v>
      </c>
      <c r="H917" s="795">
        <f t="shared" si="57"/>
        <v>1524795.8054114378</v>
      </c>
      <c r="I917" s="792">
        <f t="shared" si="58"/>
        <v>0</v>
      </c>
      <c r="J917" s="792"/>
      <c r="K917" s="812">
        <v>1471306.1863906332</v>
      </c>
      <c r="L917" s="796"/>
      <c r="M917" s="812">
        <v>1471306.1863906332</v>
      </c>
      <c r="N917" s="796"/>
      <c r="O917" s="796"/>
    </row>
    <row r="918" spans="3:15">
      <c r="C918" s="1315">
        <f>IF(D905="","-",+C917+1)</f>
        <v>2023</v>
      </c>
      <c r="D918" s="736">
        <f t="shared" si="54"/>
        <v>10423270.281403506</v>
      </c>
      <c r="E918" s="789">
        <f t="shared" si="59"/>
        <v>326577.65894736844</v>
      </c>
      <c r="F918" s="736">
        <f t="shared" si="55"/>
        <v>10096692.622456137</v>
      </c>
      <c r="G918" s="794">
        <f t="shared" si="56"/>
        <v>1487832.7777570193</v>
      </c>
      <c r="H918" s="795">
        <f t="shared" si="57"/>
        <v>1487832.7777570193</v>
      </c>
      <c r="I918" s="792">
        <f t="shared" si="58"/>
        <v>0</v>
      </c>
      <c r="J918" s="792"/>
      <c r="K918" s="812">
        <v>1467126.3201703008</v>
      </c>
      <c r="L918" s="796"/>
      <c r="M918" s="812">
        <v>1467126.3201703008</v>
      </c>
      <c r="N918" s="796"/>
      <c r="O918" s="796"/>
    </row>
    <row r="919" spans="3:15">
      <c r="C919" s="1433">
        <f>IF(D905="","-",+C918+1)</f>
        <v>2024</v>
      </c>
      <c r="D919" s="736">
        <f t="shared" si="54"/>
        <v>10096692.622456137</v>
      </c>
      <c r="E919" s="789">
        <f t="shared" si="59"/>
        <v>326577.65894736844</v>
      </c>
      <c r="F919" s="736">
        <f t="shared" si="55"/>
        <v>9770114.963508768</v>
      </c>
      <c r="G919" s="794">
        <f t="shared" si="56"/>
        <v>1450869.7501026003</v>
      </c>
      <c r="H919" s="795">
        <f t="shared" si="57"/>
        <v>1450869.7501026003</v>
      </c>
      <c r="I919" s="792">
        <f t="shared" si="58"/>
        <v>0</v>
      </c>
      <c r="J919" s="792"/>
      <c r="K919" s="812">
        <v>1458623.4750436537</v>
      </c>
      <c r="L919" s="796"/>
      <c r="M919" s="812">
        <v>1458623.4750436537</v>
      </c>
      <c r="N919" s="796"/>
      <c r="O919" s="796"/>
    </row>
    <row r="920" spans="3:15">
      <c r="C920" s="1311">
        <f>IF(D905="","-",+C919+1)</f>
        <v>2025</v>
      </c>
      <c r="D920" s="736">
        <f t="shared" si="54"/>
        <v>9770114.963508768</v>
      </c>
      <c r="E920" s="789">
        <f t="shared" si="59"/>
        <v>326577.65894736844</v>
      </c>
      <c r="F920" s="736">
        <f t="shared" si="55"/>
        <v>9443537.3045613989</v>
      </c>
      <c r="G920" s="794">
        <f t="shared" si="56"/>
        <v>1413906.7224481818</v>
      </c>
      <c r="H920" s="795">
        <f t="shared" si="57"/>
        <v>1413906.7224481818</v>
      </c>
      <c r="I920" s="792">
        <f t="shared" si="58"/>
        <v>0</v>
      </c>
      <c r="J920" s="792"/>
      <c r="K920" s="812"/>
      <c r="L920" s="796"/>
      <c r="M920" s="812"/>
      <c r="N920" s="796"/>
      <c r="O920" s="796"/>
    </row>
    <row r="921" spans="3:15">
      <c r="C921" s="788">
        <f>IF(D905="","-",+C920+1)</f>
        <v>2026</v>
      </c>
      <c r="D921" s="736">
        <f t="shared" si="54"/>
        <v>9443537.3045613989</v>
      </c>
      <c r="E921" s="789">
        <f t="shared" si="59"/>
        <v>326577.65894736844</v>
      </c>
      <c r="F921" s="736">
        <f t="shared" si="55"/>
        <v>9116959.6456140298</v>
      </c>
      <c r="G921" s="794">
        <f t="shared" si="56"/>
        <v>1376943.6947937629</v>
      </c>
      <c r="H921" s="795">
        <f t="shared" si="57"/>
        <v>1376943.6947937629</v>
      </c>
      <c r="I921" s="792">
        <f t="shared" si="58"/>
        <v>0</v>
      </c>
      <c r="J921" s="792"/>
      <c r="K921" s="812"/>
      <c r="L921" s="796"/>
      <c r="M921" s="812"/>
      <c r="N921" s="796"/>
      <c r="O921" s="796"/>
    </row>
    <row r="922" spans="3:15">
      <c r="C922" s="788">
        <f>IF(D905="","-",+C921+1)</f>
        <v>2027</v>
      </c>
      <c r="D922" s="736">
        <f t="shared" si="54"/>
        <v>9116959.6456140298</v>
      </c>
      <c r="E922" s="789">
        <f t="shared" si="59"/>
        <v>326577.65894736844</v>
      </c>
      <c r="F922" s="736">
        <f t="shared" si="55"/>
        <v>8790381.9866666608</v>
      </c>
      <c r="G922" s="794">
        <f t="shared" si="56"/>
        <v>1339980.6671393446</v>
      </c>
      <c r="H922" s="795">
        <f t="shared" si="57"/>
        <v>1339980.6671393446</v>
      </c>
      <c r="I922" s="792">
        <f t="shared" si="58"/>
        <v>0</v>
      </c>
      <c r="J922" s="792"/>
      <c r="K922" s="812"/>
      <c r="L922" s="796"/>
      <c r="M922" s="812"/>
      <c r="N922" s="796"/>
      <c r="O922" s="796"/>
    </row>
    <row r="923" spans="3:15">
      <c r="C923" s="788">
        <f>IF(D905="","-",+C922+1)</f>
        <v>2028</v>
      </c>
      <c r="D923" s="736">
        <f t="shared" si="54"/>
        <v>8790381.9866666608</v>
      </c>
      <c r="E923" s="789">
        <f t="shared" si="59"/>
        <v>326577.65894736844</v>
      </c>
      <c r="F923" s="736">
        <f t="shared" si="55"/>
        <v>8463804.3277192917</v>
      </c>
      <c r="G923" s="794">
        <f t="shared" si="56"/>
        <v>1303017.6394849257</v>
      </c>
      <c r="H923" s="795">
        <f t="shared" si="57"/>
        <v>1303017.6394849257</v>
      </c>
      <c r="I923" s="792">
        <f t="shared" si="58"/>
        <v>0</v>
      </c>
      <c r="J923" s="792"/>
      <c r="K923" s="812"/>
      <c r="L923" s="796"/>
      <c r="M923" s="812"/>
      <c r="N923" s="797"/>
      <c r="O923" s="796"/>
    </row>
    <row r="924" spans="3:15">
      <c r="C924" s="788">
        <f>IF(D905="","-",+C923+1)</f>
        <v>2029</v>
      </c>
      <c r="D924" s="736">
        <f t="shared" si="54"/>
        <v>8463804.3277192917</v>
      </c>
      <c r="E924" s="789">
        <f t="shared" si="59"/>
        <v>326577.65894736844</v>
      </c>
      <c r="F924" s="736">
        <f t="shared" si="55"/>
        <v>8137226.6687719235</v>
      </c>
      <c r="G924" s="794">
        <f t="shared" si="56"/>
        <v>1266054.6118305072</v>
      </c>
      <c r="H924" s="795">
        <f t="shared" si="57"/>
        <v>1266054.6118305072</v>
      </c>
      <c r="I924" s="792">
        <f t="shared" si="58"/>
        <v>0</v>
      </c>
      <c r="J924" s="792"/>
      <c r="K924" s="812"/>
      <c r="L924" s="796"/>
      <c r="M924" s="812"/>
      <c r="N924" s="796"/>
      <c r="O924" s="796"/>
    </row>
    <row r="925" spans="3:15">
      <c r="C925" s="788">
        <f>IF(D905="","-",+C924+1)</f>
        <v>2030</v>
      </c>
      <c r="D925" s="736">
        <f t="shared" si="54"/>
        <v>8137226.6687719235</v>
      </c>
      <c r="E925" s="789">
        <f t="shared" si="59"/>
        <v>326577.65894736844</v>
      </c>
      <c r="F925" s="736">
        <f t="shared" si="55"/>
        <v>7810649.0098245554</v>
      </c>
      <c r="G925" s="794">
        <f t="shared" si="56"/>
        <v>1229091.5841760885</v>
      </c>
      <c r="H925" s="795">
        <f t="shared" si="57"/>
        <v>1229091.5841760885</v>
      </c>
      <c r="I925" s="792">
        <f t="shared" si="58"/>
        <v>0</v>
      </c>
      <c r="J925" s="792"/>
      <c r="K925" s="812"/>
      <c r="L925" s="796"/>
      <c r="M925" s="812"/>
      <c r="N925" s="796"/>
      <c r="O925" s="796"/>
    </row>
    <row r="926" spans="3:15">
      <c r="C926" s="788">
        <f>IF(D905="","-",+C925+1)</f>
        <v>2031</v>
      </c>
      <c r="D926" s="736">
        <f t="shared" si="54"/>
        <v>7810649.0098245554</v>
      </c>
      <c r="E926" s="789">
        <f t="shared" si="59"/>
        <v>326577.65894736844</v>
      </c>
      <c r="F926" s="736">
        <f t="shared" si="55"/>
        <v>7484071.3508771872</v>
      </c>
      <c r="G926" s="794">
        <f t="shared" si="56"/>
        <v>1192128.55652167</v>
      </c>
      <c r="H926" s="795">
        <f t="shared" si="57"/>
        <v>1192128.55652167</v>
      </c>
      <c r="I926" s="792">
        <f t="shared" si="58"/>
        <v>0</v>
      </c>
      <c r="J926" s="792"/>
      <c r="K926" s="812"/>
      <c r="L926" s="796"/>
      <c r="M926" s="812"/>
      <c r="N926" s="796"/>
      <c r="O926" s="796"/>
    </row>
    <row r="927" spans="3:15">
      <c r="C927" s="788">
        <f>IF(D905="","-",+C926+1)</f>
        <v>2032</v>
      </c>
      <c r="D927" s="736">
        <f t="shared" si="54"/>
        <v>7484071.3508771872</v>
      </c>
      <c r="E927" s="789">
        <f t="shared" si="59"/>
        <v>326577.65894736844</v>
      </c>
      <c r="F927" s="736">
        <f t="shared" si="55"/>
        <v>7157493.6919298191</v>
      </c>
      <c r="G927" s="794">
        <f t="shared" si="56"/>
        <v>1155165.5288672515</v>
      </c>
      <c r="H927" s="795">
        <f t="shared" si="57"/>
        <v>1155165.5288672515</v>
      </c>
      <c r="I927" s="792">
        <f t="shared" si="58"/>
        <v>0</v>
      </c>
      <c r="J927" s="792"/>
      <c r="K927" s="812"/>
      <c r="L927" s="796"/>
      <c r="M927" s="812"/>
      <c r="N927" s="796"/>
      <c r="O927" s="796"/>
    </row>
    <row r="928" spans="3:15">
      <c r="C928" s="788">
        <f>IF(D905="","-",+C927+1)</f>
        <v>2033</v>
      </c>
      <c r="D928" s="736">
        <f t="shared" si="54"/>
        <v>7157493.6919298191</v>
      </c>
      <c r="E928" s="789">
        <f t="shared" si="59"/>
        <v>326577.65894736844</v>
      </c>
      <c r="F928" s="736">
        <f t="shared" si="55"/>
        <v>6830916.0329824509</v>
      </c>
      <c r="G928" s="794">
        <f t="shared" si="56"/>
        <v>1118202.501212833</v>
      </c>
      <c r="H928" s="795">
        <f t="shared" si="57"/>
        <v>1118202.501212833</v>
      </c>
      <c r="I928" s="792">
        <f t="shared" si="58"/>
        <v>0</v>
      </c>
      <c r="J928" s="792"/>
      <c r="K928" s="812"/>
      <c r="L928" s="796"/>
      <c r="M928" s="812"/>
      <c r="N928" s="796"/>
      <c r="O928" s="796"/>
    </row>
    <row r="929" spans="3:15">
      <c r="C929" s="788">
        <f>IF(D905="","-",+C928+1)</f>
        <v>2034</v>
      </c>
      <c r="D929" s="736">
        <f t="shared" si="54"/>
        <v>6830916.0329824509</v>
      </c>
      <c r="E929" s="789">
        <f t="shared" si="59"/>
        <v>326577.65894736844</v>
      </c>
      <c r="F929" s="736">
        <f t="shared" si="55"/>
        <v>6504338.3740350828</v>
      </c>
      <c r="G929" s="794">
        <f t="shared" si="56"/>
        <v>1081239.4735584143</v>
      </c>
      <c r="H929" s="795">
        <f t="shared" si="57"/>
        <v>1081239.4735584143</v>
      </c>
      <c r="I929" s="792">
        <f t="shared" si="58"/>
        <v>0</v>
      </c>
      <c r="J929" s="792"/>
      <c r="K929" s="812"/>
      <c r="L929" s="796"/>
      <c r="M929" s="812"/>
      <c r="N929" s="796"/>
      <c r="O929" s="796"/>
    </row>
    <row r="930" spans="3:15">
      <c r="C930" s="788">
        <f>IF(D905="","-",+C929+1)</f>
        <v>2035</v>
      </c>
      <c r="D930" s="736">
        <f t="shared" si="54"/>
        <v>6504338.3740350828</v>
      </c>
      <c r="E930" s="789">
        <f t="shared" si="59"/>
        <v>326577.65894736844</v>
      </c>
      <c r="F930" s="736">
        <f t="shared" si="55"/>
        <v>6177760.7150877146</v>
      </c>
      <c r="G930" s="794">
        <f t="shared" si="56"/>
        <v>1044276.4459039958</v>
      </c>
      <c r="H930" s="795">
        <f t="shared" si="57"/>
        <v>1044276.4459039958</v>
      </c>
      <c r="I930" s="792">
        <f t="shared" si="58"/>
        <v>0</v>
      </c>
      <c r="J930" s="792"/>
      <c r="K930" s="812"/>
      <c r="L930" s="796"/>
      <c r="M930" s="812"/>
      <c r="N930" s="796"/>
      <c r="O930" s="796"/>
    </row>
    <row r="931" spans="3:15">
      <c r="C931" s="788">
        <f>IF(D905="","-",+C930+1)</f>
        <v>2036</v>
      </c>
      <c r="D931" s="736">
        <f t="shared" si="54"/>
        <v>6177760.7150877146</v>
      </c>
      <c r="E931" s="789">
        <f t="shared" si="59"/>
        <v>326577.65894736844</v>
      </c>
      <c r="F931" s="736">
        <f t="shared" si="55"/>
        <v>5851183.0561403465</v>
      </c>
      <c r="G931" s="794">
        <f t="shared" si="56"/>
        <v>1007313.4182495771</v>
      </c>
      <c r="H931" s="795">
        <f t="shared" si="57"/>
        <v>1007313.4182495771</v>
      </c>
      <c r="I931" s="792">
        <f t="shared" si="58"/>
        <v>0</v>
      </c>
      <c r="J931" s="792"/>
      <c r="K931" s="812"/>
      <c r="L931" s="796"/>
      <c r="M931" s="812"/>
      <c r="N931" s="796"/>
      <c r="O931" s="796"/>
    </row>
    <row r="932" spans="3:15">
      <c r="C932" s="788">
        <f>IF(D905="","-",+C931+1)</f>
        <v>2037</v>
      </c>
      <c r="D932" s="736">
        <f t="shared" si="54"/>
        <v>5851183.0561403465</v>
      </c>
      <c r="E932" s="789">
        <f t="shared" si="59"/>
        <v>326577.65894736844</v>
      </c>
      <c r="F932" s="736">
        <f t="shared" si="55"/>
        <v>5524605.3971929783</v>
      </c>
      <c r="G932" s="794">
        <f t="shared" si="56"/>
        <v>970350.39059515856</v>
      </c>
      <c r="H932" s="795">
        <f t="shared" si="57"/>
        <v>970350.39059515856</v>
      </c>
      <c r="I932" s="792">
        <f t="shared" si="58"/>
        <v>0</v>
      </c>
      <c r="J932" s="792"/>
      <c r="K932" s="812"/>
      <c r="L932" s="796"/>
      <c r="M932" s="812"/>
      <c r="N932" s="796"/>
      <c r="O932" s="796"/>
    </row>
    <row r="933" spans="3:15">
      <c r="C933" s="788">
        <f>IF(D905="","-",+C932+1)</f>
        <v>2038</v>
      </c>
      <c r="D933" s="736">
        <f t="shared" si="54"/>
        <v>5524605.3971929783</v>
      </c>
      <c r="E933" s="789">
        <f t="shared" si="59"/>
        <v>326577.65894736844</v>
      </c>
      <c r="F933" s="736">
        <f t="shared" si="55"/>
        <v>5198027.7382456101</v>
      </c>
      <c r="G933" s="794">
        <f t="shared" si="56"/>
        <v>933387.36294073984</v>
      </c>
      <c r="H933" s="795">
        <f t="shared" si="57"/>
        <v>933387.36294073984</v>
      </c>
      <c r="I933" s="792">
        <f t="shared" si="58"/>
        <v>0</v>
      </c>
      <c r="J933" s="792"/>
      <c r="K933" s="812"/>
      <c r="L933" s="796"/>
      <c r="M933" s="812"/>
      <c r="N933" s="796"/>
      <c r="O933" s="796"/>
    </row>
    <row r="934" spans="3:15">
      <c r="C934" s="788">
        <f>IF(D905="","-",+C933+1)</f>
        <v>2039</v>
      </c>
      <c r="D934" s="736">
        <f t="shared" si="54"/>
        <v>5198027.7382456101</v>
      </c>
      <c r="E934" s="789">
        <f t="shared" si="59"/>
        <v>326577.65894736844</v>
      </c>
      <c r="F934" s="736">
        <f t="shared" si="55"/>
        <v>4871450.079298242</v>
      </c>
      <c r="G934" s="794">
        <f t="shared" si="56"/>
        <v>896424.33528632158</v>
      </c>
      <c r="H934" s="795">
        <f t="shared" si="57"/>
        <v>896424.33528632158</v>
      </c>
      <c r="I934" s="792">
        <f t="shared" si="58"/>
        <v>0</v>
      </c>
      <c r="J934" s="792"/>
      <c r="K934" s="812"/>
      <c r="L934" s="796"/>
      <c r="M934" s="812"/>
      <c r="N934" s="796"/>
      <c r="O934" s="796"/>
    </row>
    <row r="935" spans="3:15">
      <c r="C935" s="788">
        <f>IF(D905="","-",+C934+1)</f>
        <v>2040</v>
      </c>
      <c r="D935" s="736">
        <f t="shared" si="54"/>
        <v>4871450.079298242</v>
      </c>
      <c r="E935" s="789">
        <f t="shared" si="59"/>
        <v>326577.65894736844</v>
      </c>
      <c r="F935" s="736">
        <f t="shared" si="55"/>
        <v>4544872.4203508738</v>
      </c>
      <c r="G935" s="794">
        <f t="shared" si="56"/>
        <v>859461.30763190286</v>
      </c>
      <c r="H935" s="795">
        <f t="shared" si="57"/>
        <v>859461.30763190286</v>
      </c>
      <c r="I935" s="792">
        <f t="shared" si="58"/>
        <v>0</v>
      </c>
      <c r="J935" s="792"/>
      <c r="K935" s="812"/>
      <c r="L935" s="796"/>
      <c r="M935" s="812"/>
      <c r="N935" s="796"/>
      <c r="O935" s="796"/>
    </row>
    <row r="936" spans="3:15">
      <c r="C936" s="788">
        <f>IF(D905="","-",+C935+1)</f>
        <v>2041</v>
      </c>
      <c r="D936" s="736">
        <f t="shared" si="54"/>
        <v>4544872.4203508738</v>
      </c>
      <c r="E936" s="789">
        <f t="shared" si="59"/>
        <v>326577.65894736844</v>
      </c>
      <c r="F936" s="736">
        <f t="shared" si="55"/>
        <v>4218294.7614035057</v>
      </c>
      <c r="G936" s="794">
        <f t="shared" si="56"/>
        <v>822498.27997748437</v>
      </c>
      <c r="H936" s="795">
        <f t="shared" si="57"/>
        <v>822498.27997748437</v>
      </c>
      <c r="I936" s="792">
        <f t="shared" si="58"/>
        <v>0</v>
      </c>
      <c r="J936" s="792"/>
      <c r="K936" s="812"/>
      <c r="L936" s="796"/>
      <c r="M936" s="812"/>
      <c r="N936" s="796"/>
      <c r="O936" s="796"/>
    </row>
    <row r="937" spans="3:15">
      <c r="C937" s="788">
        <f>IF(D905="","-",+C936+1)</f>
        <v>2042</v>
      </c>
      <c r="D937" s="736">
        <f t="shared" si="54"/>
        <v>4218294.7614035057</v>
      </c>
      <c r="E937" s="789">
        <f t="shared" si="59"/>
        <v>326577.65894736844</v>
      </c>
      <c r="F937" s="736">
        <f t="shared" si="55"/>
        <v>3891717.1024561371</v>
      </c>
      <c r="G937" s="794">
        <f t="shared" si="56"/>
        <v>785535.25232306565</v>
      </c>
      <c r="H937" s="795">
        <f t="shared" si="57"/>
        <v>785535.25232306565</v>
      </c>
      <c r="I937" s="792">
        <f t="shared" si="58"/>
        <v>0</v>
      </c>
      <c r="J937" s="792"/>
      <c r="K937" s="812"/>
      <c r="L937" s="796"/>
      <c r="M937" s="812"/>
      <c r="N937" s="796"/>
      <c r="O937" s="796"/>
    </row>
    <row r="938" spans="3:15">
      <c r="C938" s="788">
        <f>IF(D905="","-",+C937+1)</f>
        <v>2043</v>
      </c>
      <c r="D938" s="736">
        <f t="shared" si="54"/>
        <v>3891717.1024561371</v>
      </c>
      <c r="E938" s="789">
        <f t="shared" si="59"/>
        <v>326577.65894736844</v>
      </c>
      <c r="F938" s="736">
        <f t="shared" si="55"/>
        <v>3565139.4435087685</v>
      </c>
      <c r="G938" s="794">
        <f t="shared" si="56"/>
        <v>748572.22466864716</v>
      </c>
      <c r="H938" s="795">
        <f t="shared" si="57"/>
        <v>748572.22466864716</v>
      </c>
      <c r="I938" s="792">
        <f t="shared" si="58"/>
        <v>0</v>
      </c>
      <c r="J938" s="792"/>
      <c r="K938" s="812"/>
      <c r="L938" s="796"/>
      <c r="M938" s="812"/>
      <c r="N938" s="796"/>
      <c r="O938" s="796"/>
    </row>
    <row r="939" spans="3:15">
      <c r="C939" s="788">
        <f>IF(D905="","-",+C938+1)</f>
        <v>2044</v>
      </c>
      <c r="D939" s="736">
        <f t="shared" si="54"/>
        <v>3565139.4435087685</v>
      </c>
      <c r="E939" s="789">
        <f t="shared" si="59"/>
        <v>326577.65894736844</v>
      </c>
      <c r="F939" s="736">
        <f t="shared" si="55"/>
        <v>3238561.7845613998</v>
      </c>
      <c r="G939" s="790">
        <f t="shared" si="56"/>
        <v>711609.19701422844</v>
      </c>
      <c r="H939" s="795">
        <f t="shared" si="57"/>
        <v>711609.19701422844</v>
      </c>
      <c r="I939" s="792">
        <f t="shared" si="58"/>
        <v>0</v>
      </c>
      <c r="J939" s="792"/>
      <c r="K939" s="812"/>
      <c r="L939" s="796"/>
      <c r="M939" s="812"/>
      <c r="N939" s="796"/>
      <c r="O939" s="796"/>
    </row>
    <row r="940" spans="3:15">
      <c r="C940" s="788">
        <f>IF(D905="","-",+C939+1)</f>
        <v>2045</v>
      </c>
      <c r="D940" s="736">
        <f t="shared" si="54"/>
        <v>3238561.7845613998</v>
      </c>
      <c r="E940" s="789">
        <f t="shared" si="59"/>
        <v>326577.65894736844</v>
      </c>
      <c r="F940" s="736">
        <f t="shared" si="55"/>
        <v>2911984.1256140312</v>
      </c>
      <c r="G940" s="794">
        <f t="shared" si="56"/>
        <v>674646.16935980984</v>
      </c>
      <c r="H940" s="795">
        <f t="shared" si="57"/>
        <v>674646.16935980984</v>
      </c>
      <c r="I940" s="792">
        <f t="shared" si="58"/>
        <v>0</v>
      </c>
      <c r="J940" s="792"/>
      <c r="K940" s="812"/>
      <c r="L940" s="796"/>
      <c r="M940" s="812"/>
      <c r="N940" s="796"/>
      <c r="O940" s="796"/>
    </row>
    <row r="941" spans="3:15">
      <c r="C941" s="788">
        <f>IF(D905="","-",+C940+1)</f>
        <v>2046</v>
      </c>
      <c r="D941" s="736">
        <f t="shared" si="54"/>
        <v>2911984.1256140312</v>
      </c>
      <c r="E941" s="789">
        <f t="shared" si="59"/>
        <v>326577.65894736844</v>
      </c>
      <c r="F941" s="736">
        <f t="shared" si="55"/>
        <v>2585406.4666666626</v>
      </c>
      <c r="G941" s="794">
        <f t="shared" si="56"/>
        <v>637683.14170539123</v>
      </c>
      <c r="H941" s="795">
        <f t="shared" si="57"/>
        <v>637683.14170539123</v>
      </c>
      <c r="I941" s="792">
        <f t="shared" si="58"/>
        <v>0</v>
      </c>
      <c r="J941" s="792"/>
      <c r="K941" s="812"/>
      <c r="L941" s="796"/>
      <c r="M941" s="812"/>
      <c r="N941" s="796"/>
      <c r="O941" s="796"/>
    </row>
    <row r="942" spans="3:15">
      <c r="C942" s="788">
        <f>IF(D905="","-",+C941+1)</f>
        <v>2047</v>
      </c>
      <c r="D942" s="736">
        <f t="shared" si="54"/>
        <v>2585406.4666666626</v>
      </c>
      <c r="E942" s="789">
        <f t="shared" si="59"/>
        <v>326577.65894736844</v>
      </c>
      <c r="F942" s="736">
        <f t="shared" si="55"/>
        <v>2258828.807719294</v>
      </c>
      <c r="G942" s="794">
        <f t="shared" si="56"/>
        <v>600720.11405097262</v>
      </c>
      <c r="H942" s="795">
        <f t="shared" si="57"/>
        <v>600720.11405097262</v>
      </c>
      <c r="I942" s="792">
        <f t="shared" si="58"/>
        <v>0</v>
      </c>
      <c r="J942" s="792"/>
      <c r="K942" s="812"/>
      <c r="L942" s="796"/>
      <c r="M942" s="812"/>
      <c r="N942" s="796"/>
      <c r="O942" s="796"/>
    </row>
    <row r="943" spans="3:15">
      <c r="C943" s="788">
        <f>IF(D905="","-",+C942+1)</f>
        <v>2048</v>
      </c>
      <c r="D943" s="736">
        <f t="shared" si="54"/>
        <v>2258828.807719294</v>
      </c>
      <c r="E943" s="789">
        <f t="shared" si="59"/>
        <v>326577.65894736844</v>
      </c>
      <c r="F943" s="736">
        <f t="shared" si="55"/>
        <v>1932251.1487719256</v>
      </c>
      <c r="G943" s="794">
        <f t="shared" si="56"/>
        <v>563757.08639655402</v>
      </c>
      <c r="H943" s="795">
        <f t="shared" si="57"/>
        <v>563757.08639655402</v>
      </c>
      <c r="I943" s="792">
        <f t="shared" si="58"/>
        <v>0</v>
      </c>
      <c r="J943" s="792"/>
      <c r="K943" s="812"/>
      <c r="L943" s="796"/>
      <c r="M943" s="812"/>
      <c r="N943" s="796"/>
      <c r="O943" s="796"/>
    </row>
    <row r="944" spans="3:15">
      <c r="C944" s="788">
        <f>IF(D905="","-",+C943+1)</f>
        <v>2049</v>
      </c>
      <c r="D944" s="736">
        <f t="shared" si="54"/>
        <v>1932251.1487719256</v>
      </c>
      <c r="E944" s="789">
        <f t="shared" si="59"/>
        <v>326577.65894736844</v>
      </c>
      <c r="F944" s="736">
        <f t="shared" si="55"/>
        <v>1605673.4898245572</v>
      </c>
      <c r="G944" s="794">
        <f t="shared" si="56"/>
        <v>526794.05874213541</v>
      </c>
      <c r="H944" s="795">
        <f t="shared" si="57"/>
        <v>526794.05874213541</v>
      </c>
      <c r="I944" s="792">
        <f t="shared" si="58"/>
        <v>0</v>
      </c>
      <c r="J944" s="792"/>
      <c r="K944" s="812"/>
      <c r="L944" s="796"/>
      <c r="M944" s="812"/>
      <c r="N944" s="796"/>
      <c r="O944" s="796"/>
    </row>
    <row r="945" spans="3:15">
      <c r="C945" s="788">
        <f>IF(D905="","-",+C944+1)</f>
        <v>2050</v>
      </c>
      <c r="D945" s="736">
        <f t="shared" si="54"/>
        <v>1605673.4898245572</v>
      </c>
      <c r="E945" s="789">
        <f t="shared" si="59"/>
        <v>326577.65894736844</v>
      </c>
      <c r="F945" s="736">
        <f t="shared" si="55"/>
        <v>1279095.8308771888</v>
      </c>
      <c r="G945" s="794">
        <f t="shared" si="56"/>
        <v>489831.03108771681</v>
      </c>
      <c r="H945" s="795">
        <f t="shared" si="57"/>
        <v>489831.03108771681</v>
      </c>
      <c r="I945" s="792">
        <f t="shared" si="58"/>
        <v>0</v>
      </c>
      <c r="J945" s="792"/>
      <c r="K945" s="812"/>
      <c r="L945" s="796"/>
      <c r="M945" s="812"/>
      <c r="N945" s="796"/>
      <c r="O945" s="796"/>
    </row>
    <row r="946" spans="3:15">
      <c r="C946" s="788">
        <f>IF(D905="","-",+C945+1)</f>
        <v>2051</v>
      </c>
      <c r="D946" s="736">
        <f t="shared" si="54"/>
        <v>1279095.8308771888</v>
      </c>
      <c r="E946" s="789">
        <f t="shared" si="59"/>
        <v>326577.65894736844</v>
      </c>
      <c r="F946" s="736">
        <f t="shared" si="55"/>
        <v>952518.17192982044</v>
      </c>
      <c r="G946" s="794">
        <f t="shared" si="56"/>
        <v>452868.0034332982</v>
      </c>
      <c r="H946" s="795">
        <f t="shared" si="57"/>
        <v>452868.0034332982</v>
      </c>
      <c r="I946" s="792">
        <f t="shared" si="58"/>
        <v>0</v>
      </c>
      <c r="J946" s="792"/>
      <c r="K946" s="812"/>
      <c r="L946" s="796"/>
      <c r="M946" s="812"/>
      <c r="N946" s="796"/>
      <c r="O946" s="796"/>
    </row>
    <row r="947" spans="3:15">
      <c r="C947" s="788">
        <f>IF(D905="","-",+C946+1)</f>
        <v>2052</v>
      </c>
      <c r="D947" s="736">
        <f t="shared" si="54"/>
        <v>952518.17192982044</v>
      </c>
      <c r="E947" s="789">
        <f t="shared" si="59"/>
        <v>326577.65894736844</v>
      </c>
      <c r="F947" s="736">
        <f t="shared" si="55"/>
        <v>625940.51298245206</v>
      </c>
      <c r="G947" s="794">
        <f t="shared" si="56"/>
        <v>415904.9757788796</v>
      </c>
      <c r="H947" s="795">
        <f t="shared" si="57"/>
        <v>415904.9757788796</v>
      </c>
      <c r="I947" s="792">
        <f t="shared" si="58"/>
        <v>0</v>
      </c>
      <c r="J947" s="792"/>
      <c r="K947" s="812"/>
      <c r="L947" s="796"/>
      <c r="M947" s="812"/>
      <c r="N947" s="796"/>
      <c r="O947" s="796"/>
    </row>
    <row r="948" spans="3:15">
      <c r="C948" s="788">
        <f>IF(D905="","-",+C947+1)</f>
        <v>2053</v>
      </c>
      <c r="D948" s="736">
        <f t="shared" si="54"/>
        <v>625940.51298245206</v>
      </c>
      <c r="E948" s="789">
        <f t="shared" si="59"/>
        <v>326577.65894736844</v>
      </c>
      <c r="F948" s="736">
        <f t="shared" si="55"/>
        <v>299362.85403508361</v>
      </c>
      <c r="G948" s="794">
        <f t="shared" si="56"/>
        <v>378941.94812446099</v>
      </c>
      <c r="H948" s="795">
        <f t="shared" si="57"/>
        <v>378941.94812446099</v>
      </c>
      <c r="I948" s="792">
        <f t="shared" si="58"/>
        <v>0</v>
      </c>
      <c r="J948" s="792"/>
      <c r="K948" s="812"/>
      <c r="L948" s="796"/>
      <c r="M948" s="812"/>
      <c r="N948" s="796"/>
      <c r="O948" s="796"/>
    </row>
    <row r="949" spans="3:15">
      <c r="C949" s="788">
        <f>IF(D905="","-",+C948+1)</f>
        <v>2054</v>
      </c>
      <c r="D949" s="736">
        <f t="shared" si="54"/>
        <v>299362.85403508361</v>
      </c>
      <c r="E949" s="789">
        <f t="shared" si="59"/>
        <v>299362.85403508361</v>
      </c>
      <c r="F949" s="736">
        <f t="shared" si="55"/>
        <v>0</v>
      </c>
      <c r="G949" s="794">
        <f t="shared" si="56"/>
        <v>316304.24171002524</v>
      </c>
      <c r="H949" s="795">
        <f t="shared" si="57"/>
        <v>316304.24171002524</v>
      </c>
      <c r="I949" s="792">
        <f t="shared" si="58"/>
        <v>0</v>
      </c>
      <c r="J949" s="792"/>
      <c r="K949" s="812"/>
      <c r="L949" s="796"/>
      <c r="M949" s="812"/>
      <c r="N949" s="796"/>
      <c r="O949" s="796"/>
    </row>
    <row r="950" spans="3:15">
      <c r="C950" s="788">
        <f>IF(D905="","-",+C949+1)</f>
        <v>2055</v>
      </c>
      <c r="D950" s="736">
        <f t="shared" si="54"/>
        <v>0</v>
      </c>
      <c r="E950" s="789">
        <f t="shared" si="59"/>
        <v>0</v>
      </c>
      <c r="F950" s="736">
        <f t="shared" si="55"/>
        <v>0</v>
      </c>
      <c r="G950" s="794">
        <f t="shared" si="56"/>
        <v>0</v>
      </c>
      <c r="H950" s="795">
        <f t="shared" si="57"/>
        <v>0</v>
      </c>
      <c r="I950" s="792">
        <f t="shared" si="58"/>
        <v>0</v>
      </c>
      <c r="J950" s="792"/>
      <c r="K950" s="812"/>
      <c r="L950" s="796"/>
      <c r="M950" s="812"/>
      <c r="N950" s="796"/>
      <c r="O950" s="796"/>
    </row>
    <row r="951" spans="3:15">
      <c r="C951" s="788">
        <f>IF(D905="","-",+C950+1)</f>
        <v>2056</v>
      </c>
      <c r="D951" s="736">
        <f t="shared" si="54"/>
        <v>0</v>
      </c>
      <c r="E951" s="789">
        <f t="shared" si="59"/>
        <v>0</v>
      </c>
      <c r="F951" s="736">
        <f t="shared" si="55"/>
        <v>0</v>
      </c>
      <c r="G951" s="794">
        <f t="shared" si="56"/>
        <v>0</v>
      </c>
      <c r="H951" s="795">
        <f t="shared" si="57"/>
        <v>0</v>
      </c>
      <c r="I951" s="792">
        <f t="shared" si="58"/>
        <v>0</v>
      </c>
      <c r="J951" s="792"/>
      <c r="K951" s="812"/>
      <c r="L951" s="796"/>
      <c r="M951" s="812"/>
      <c r="N951" s="796"/>
      <c r="O951" s="796"/>
    </row>
    <row r="952" spans="3:15">
      <c r="C952" s="788">
        <f>IF(D905="","-",+C951+1)</f>
        <v>2057</v>
      </c>
      <c r="D952" s="736">
        <f t="shared" si="54"/>
        <v>0</v>
      </c>
      <c r="E952" s="789">
        <f t="shared" si="59"/>
        <v>0</v>
      </c>
      <c r="F952" s="736">
        <f t="shared" si="55"/>
        <v>0</v>
      </c>
      <c r="G952" s="794">
        <f t="shared" si="56"/>
        <v>0</v>
      </c>
      <c r="H952" s="795">
        <f t="shared" si="57"/>
        <v>0</v>
      </c>
      <c r="I952" s="792">
        <f t="shared" si="58"/>
        <v>0</v>
      </c>
      <c r="J952" s="792"/>
      <c r="K952" s="812"/>
      <c r="L952" s="796"/>
      <c r="M952" s="812"/>
      <c r="N952" s="796"/>
      <c r="O952" s="796"/>
    </row>
    <row r="953" spans="3:15">
      <c r="C953" s="788">
        <f>IF(D905="","-",+C952+1)</f>
        <v>2058</v>
      </c>
      <c r="D953" s="736">
        <f t="shared" si="54"/>
        <v>0</v>
      </c>
      <c r="E953" s="789">
        <f t="shared" si="59"/>
        <v>0</v>
      </c>
      <c r="F953" s="736">
        <f t="shared" si="55"/>
        <v>0</v>
      </c>
      <c r="G953" s="794">
        <f t="shared" si="56"/>
        <v>0</v>
      </c>
      <c r="H953" s="795">
        <f t="shared" si="57"/>
        <v>0</v>
      </c>
      <c r="I953" s="792">
        <f t="shared" si="58"/>
        <v>0</v>
      </c>
      <c r="J953" s="792"/>
      <c r="K953" s="812"/>
      <c r="L953" s="796"/>
      <c r="M953" s="812"/>
      <c r="N953" s="796"/>
      <c r="O953" s="796"/>
    </row>
    <row r="954" spans="3:15">
      <c r="C954" s="788">
        <f>IF(D905="","-",+C953+1)</f>
        <v>2059</v>
      </c>
      <c r="D954" s="736">
        <f t="shared" si="54"/>
        <v>0</v>
      </c>
      <c r="E954" s="789">
        <f t="shared" si="59"/>
        <v>0</v>
      </c>
      <c r="F954" s="736">
        <f t="shared" si="55"/>
        <v>0</v>
      </c>
      <c r="G954" s="794">
        <f t="shared" si="56"/>
        <v>0</v>
      </c>
      <c r="H954" s="795">
        <f t="shared" si="57"/>
        <v>0</v>
      </c>
      <c r="I954" s="792">
        <f t="shared" si="58"/>
        <v>0</v>
      </c>
      <c r="J954" s="792"/>
      <c r="K954" s="812"/>
      <c r="L954" s="796"/>
      <c r="M954" s="812"/>
      <c r="N954" s="796"/>
      <c r="O954" s="796"/>
    </row>
    <row r="955" spans="3:15">
      <c r="C955" s="788">
        <f>IF(D905="","-",+C954+1)</f>
        <v>2060</v>
      </c>
      <c r="D955" s="736">
        <f t="shared" si="54"/>
        <v>0</v>
      </c>
      <c r="E955" s="789">
        <f t="shared" si="59"/>
        <v>0</v>
      </c>
      <c r="F955" s="736">
        <f t="shared" si="55"/>
        <v>0</v>
      </c>
      <c r="G955" s="794">
        <f t="shared" si="56"/>
        <v>0</v>
      </c>
      <c r="H955" s="795">
        <f t="shared" si="57"/>
        <v>0</v>
      </c>
      <c r="I955" s="792">
        <f t="shared" si="58"/>
        <v>0</v>
      </c>
      <c r="J955" s="792"/>
      <c r="K955" s="812"/>
      <c r="L955" s="796"/>
      <c r="M955" s="812"/>
      <c r="N955" s="796"/>
      <c r="O955" s="796"/>
    </row>
    <row r="956" spans="3:15">
      <c r="C956" s="788">
        <f>IF(D905="","-",+C955+1)</f>
        <v>2061</v>
      </c>
      <c r="D956" s="736">
        <f t="shared" si="54"/>
        <v>0</v>
      </c>
      <c r="E956" s="789">
        <f t="shared" si="59"/>
        <v>0</v>
      </c>
      <c r="F956" s="736">
        <f t="shared" si="55"/>
        <v>0</v>
      </c>
      <c r="G956" s="794">
        <f t="shared" si="56"/>
        <v>0</v>
      </c>
      <c r="H956" s="795">
        <f t="shared" si="57"/>
        <v>0</v>
      </c>
      <c r="I956" s="792">
        <f t="shared" si="58"/>
        <v>0</v>
      </c>
      <c r="J956" s="792"/>
      <c r="K956" s="812"/>
      <c r="L956" s="796"/>
      <c r="M956" s="812"/>
      <c r="N956" s="796"/>
      <c r="O956" s="796"/>
    </row>
    <row r="957" spans="3:15">
      <c r="C957" s="788">
        <f>IF(D905="","-",+C956+1)</f>
        <v>2062</v>
      </c>
      <c r="D957" s="736">
        <f t="shared" si="54"/>
        <v>0</v>
      </c>
      <c r="E957" s="789">
        <f t="shared" si="59"/>
        <v>0</v>
      </c>
      <c r="F957" s="736">
        <f t="shared" si="55"/>
        <v>0</v>
      </c>
      <c r="G957" s="794">
        <f t="shared" si="56"/>
        <v>0</v>
      </c>
      <c r="H957" s="795">
        <f t="shared" si="57"/>
        <v>0</v>
      </c>
      <c r="I957" s="792">
        <f t="shared" si="58"/>
        <v>0</v>
      </c>
      <c r="J957" s="792"/>
      <c r="K957" s="812"/>
      <c r="L957" s="796"/>
      <c r="M957" s="812"/>
      <c r="N957" s="796"/>
      <c r="O957" s="796"/>
    </row>
    <row r="958" spans="3:15">
      <c r="C958" s="788">
        <f>IF(D905="","-",+C957+1)</f>
        <v>2063</v>
      </c>
      <c r="D958" s="736">
        <f t="shared" si="54"/>
        <v>0</v>
      </c>
      <c r="E958" s="789">
        <f t="shared" si="59"/>
        <v>0</v>
      </c>
      <c r="F958" s="736">
        <f t="shared" si="55"/>
        <v>0</v>
      </c>
      <c r="G958" s="794">
        <f t="shared" si="56"/>
        <v>0</v>
      </c>
      <c r="H958" s="795">
        <f t="shared" si="57"/>
        <v>0</v>
      </c>
      <c r="I958" s="792">
        <f t="shared" si="58"/>
        <v>0</v>
      </c>
      <c r="J958" s="792"/>
      <c r="K958" s="812"/>
      <c r="L958" s="796"/>
      <c r="M958" s="812"/>
      <c r="N958" s="796"/>
      <c r="O958" s="796"/>
    </row>
    <row r="959" spans="3:15">
      <c r="C959" s="788">
        <f>IF(D905="","-",+C958+1)</f>
        <v>2064</v>
      </c>
      <c r="D959" s="736">
        <f t="shared" si="54"/>
        <v>0</v>
      </c>
      <c r="E959" s="789">
        <f t="shared" si="59"/>
        <v>0</v>
      </c>
      <c r="F959" s="736">
        <f t="shared" si="55"/>
        <v>0</v>
      </c>
      <c r="G959" s="794">
        <f t="shared" si="56"/>
        <v>0</v>
      </c>
      <c r="H959" s="795">
        <f t="shared" si="57"/>
        <v>0</v>
      </c>
      <c r="I959" s="792">
        <f t="shared" si="58"/>
        <v>0</v>
      </c>
      <c r="J959" s="792"/>
      <c r="K959" s="812"/>
      <c r="L959" s="796"/>
      <c r="M959" s="812"/>
      <c r="N959" s="796"/>
      <c r="O959" s="796"/>
    </row>
    <row r="960" spans="3:15">
      <c r="C960" s="788">
        <f>IF(D905="","-",+C959+1)</f>
        <v>2065</v>
      </c>
      <c r="D960" s="736">
        <f t="shared" si="54"/>
        <v>0</v>
      </c>
      <c r="E960" s="789">
        <f t="shared" si="59"/>
        <v>0</v>
      </c>
      <c r="F960" s="736">
        <f t="shared" si="55"/>
        <v>0</v>
      </c>
      <c r="G960" s="794">
        <f t="shared" si="56"/>
        <v>0</v>
      </c>
      <c r="H960" s="795">
        <f t="shared" si="57"/>
        <v>0</v>
      </c>
      <c r="I960" s="792">
        <f t="shared" si="58"/>
        <v>0</v>
      </c>
      <c r="J960" s="792"/>
      <c r="K960" s="812"/>
      <c r="L960" s="796"/>
      <c r="M960" s="812"/>
      <c r="N960" s="796"/>
      <c r="O960" s="796"/>
    </row>
    <row r="961" spans="3:15">
      <c r="C961" s="788">
        <f>IF(D905="","-",+C960+1)</f>
        <v>2066</v>
      </c>
      <c r="D961" s="736">
        <f t="shared" si="54"/>
        <v>0</v>
      </c>
      <c r="E961" s="789">
        <f t="shared" si="59"/>
        <v>0</v>
      </c>
      <c r="F961" s="736">
        <f t="shared" si="55"/>
        <v>0</v>
      </c>
      <c r="G961" s="794">
        <f t="shared" si="56"/>
        <v>0</v>
      </c>
      <c r="H961" s="795">
        <f t="shared" si="57"/>
        <v>0</v>
      </c>
      <c r="I961" s="792">
        <f t="shared" si="58"/>
        <v>0</v>
      </c>
      <c r="J961" s="792"/>
      <c r="K961" s="812"/>
      <c r="L961" s="796"/>
      <c r="M961" s="812"/>
      <c r="N961" s="796"/>
      <c r="O961" s="796"/>
    </row>
    <row r="962" spans="3:15">
      <c r="C962" s="788">
        <f>IF(D905="","-",+C961+1)</f>
        <v>2067</v>
      </c>
      <c r="D962" s="736">
        <f t="shared" si="54"/>
        <v>0</v>
      </c>
      <c r="E962" s="789">
        <f t="shared" si="59"/>
        <v>0</v>
      </c>
      <c r="F962" s="736">
        <f t="shared" si="55"/>
        <v>0</v>
      </c>
      <c r="G962" s="794">
        <f t="shared" si="56"/>
        <v>0</v>
      </c>
      <c r="H962" s="795">
        <f t="shared" si="57"/>
        <v>0</v>
      </c>
      <c r="I962" s="792">
        <f t="shared" si="58"/>
        <v>0</v>
      </c>
      <c r="J962" s="792"/>
      <c r="K962" s="812"/>
      <c r="L962" s="796"/>
      <c r="M962" s="812"/>
      <c r="N962" s="796"/>
      <c r="O962" s="796"/>
    </row>
    <row r="963" spans="3:15">
      <c r="C963" s="788">
        <f>IF(D905="","-",+C962+1)</f>
        <v>2068</v>
      </c>
      <c r="D963" s="736">
        <f t="shared" si="54"/>
        <v>0</v>
      </c>
      <c r="E963" s="789">
        <f t="shared" si="59"/>
        <v>0</v>
      </c>
      <c r="F963" s="736">
        <f t="shared" si="55"/>
        <v>0</v>
      </c>
      <c r="G963" s="794">
        <f t="shared" si="56"/>
        <v>0</v>
      </c>
      <c r="H963" s="795">
        <f t="shared" si="57"/>
        <v>0</v>
      </c>
      <c r="I963" s="792">
        <f t="shared" si="58"/>
        <v>0</v>
      </c>
      <c r="J963" s="792"/>
      <c r="K963" s="812"/>
      <c r="L963" s="796"/>
      <c r="M963" s="812"/>
      <c r="N963" s="796"/>
      <c r="O963" s="796"/>
    </row>
    <row r="964" spans="3:15">
      <c r="C964" s="788">
        <f>IF(D905="","-",+C963+1)</f>
        <v>2069</v>
      </c>
      <c r="D964" s="736">
        <f t="shared" si="54"/>
        <v>0</v>
      </c>
      <c r="E964" s="789">
        <f t="shared" si="59"/>
        <v>0</v>
      </c>
      <c r="F964" s="736">
        <f t="shared" si="55"/>
        <v>0</v>
      </c>
      <c r="G964" s="794">
        <f t="shared" si="56"/>
        <v>0</v>
      </c>
      <c r="H964" s="795">
        <f t="shared" si="57"/>
        <v>0</v>
      </c>
      <c r="I964" s="792">
        <f t="shared" si="58"/>
        <v>0</v>
      </c>
      <c r="J964" s="792"/>
      <c r="K964" s="812"/>
      <c r="L964" s="796"/>
      <c r="M964" s="812"/>
      <c r="N964" s="796"/>
      <c r="O964" s="796"/>
    </row>
    <row r="965" spans="3:15">
      <c r="C965" s="788">
        <f>IF(D905="","-",+C964+1)</f>
        <v>2070</v>
      </c>
      <c r="D965" s="736">
        <f t="shared" si="54"/>
        <v>0</v>
      </c>
      <c r="E965" s="789">
        <f t="shared" si="59"/>
        <v>0</v>
      </c>
      <c r="F965" s="736">
        <f t="shared" si="55"/>
        <v>0</v>
      </c>
      <c r="G965" s="794">
        <f t="shared" si="56"/>
        <v>0</v>
      </c>
      <c r="H965" s="795">
        <f t="shared" si="57"/>
        <v>0</v>
      </c>
      <c r="I965" s="792">
        <f t="shared" si="58"/>
        <v>0</v>
      </c>
      <c r="J965" s="792"/>
      <c r="K965" s="812"/>
      <c r="L965" s="796"/>
      <c r="M965" s="812"/>
      <c r="N965" s="796"/>
      <c r="O965" s="796"/>
    </row>
    <row r="966" spans="3:15">
      <c r="C966" s="788">
        <f>IF(D905="","-",+C965+1)</f>
        <v>2071</v>
      </c>
      <c r="D966" s="736">
        <f t="shared" si="54"/>
        <v>0</v>
      </c>
      <c r="E966" s="789">
        <f t="shared" si="59"/>
        <v>0</v>
      </c>
      <c r="F966" s="736">
        <f t="shared" si="55"/>
        <v>0</v>
      </c>
      <c r="G966" s="794">
        <f t="shared" si="56"/>
        <v>0</v>
      </c>
      <c r="H966" s="795">
        <f t="shared" si="57"/>
        <v>0</v>
      </c>
      <c r="I966" s="792">
        <f t="shared" si="58"/>
        <v>0</v>
      </c>
      <c r="J966" s="792"/>
      <c r="K966" s="812"/>
      <c r="L966" s="796"/>
      <c r="M966" s="812"/>
      <c r="N966" s="796"/>
      <c r="O966" s="796"/>
    </row>
    <row r="967" spans="3:15">
      <c r="C967" s="788">
        <f>IF(D905="","-",+C966+1)</f>
        <v>2072</v>
      </c>
      <c r="D967" s="736">
        <f t="shared" si="54"/>
        <v>0</v>
      </c>
      <c r="E967" s="789">
        <f t="shared" si="59"/>
        <v>0</v>
      </c>
      <c r="F967" s="736">
        <f t="shared" si="55"/>
        <v>0</v>
      </c>
      <c r="G967" s="794">
        <f t="shared" si="56"/>
        <v>0</v>
      </c>
      <c r="H967" s="795">
        <f t="shared" si="57"/>
        <v>0</v>
      </c>
      <c r="I967" s="792">
        <f t="shared" si="58"/>
        <v>0</v>
      </c>
      <c r="J967" s="792"/>
      <c r="K967" s="812"/>
      <c r="L967" s="796"/>
      <c r="M967" s="812"/>
      <c r="N967" s="796"/>
      <c r="O967" s="796"/>
    </row>
    <row r="968" spans="3:15">
      <c r="C968" s="788">
        <f>IF(D905="","-",+C967+1)</f>
        <v>2073</v>
      </c>
      <c r="D968" s="736">
        <f t="shared" si="54"/>
        <v>0</v>
      </c>
      <c r="E968" s="789">
        <f t="shared" si="59"/>
        <v>0</v>
      </c>
      <c r="F968" s="736">
        <f t="shared" si="55"/>
        <v>0</v>
      </c>
      <c r="G968" s="794">
        <f t="shared" si="56"/>
        <v>0</v>
      </c>
      <c r="H968" s="795">
        <f t="shared" si="57"/>
        <v>0</v>
      </c>
      <c r="I968" s="792">
        <f t="shared" si="58"/>
        <v>0</v>
      </c>
      <c r="J968" s="792"/>
      <c r="K968" s="812"/>
      <c r="L968" s="796"/>
      <c r="M968" s="812"/>
      <c r="N968" s="796"/>
      <c r="O968" s="796"/>
    </row>
    <row r="969" spans="3:15">
      <c r="C969" s="788">
        <f>IF(D905="","-",+C968+1)</f>
        <v>2074</v>
      </c>
      <c r="D969" s="736">
        <f t="shared" si="54"/>
        <v>0</v>
      </c>
      <c r="E969" s="789">
        <f t="shared" si="59"/>
        <v>0</v>
      </c>
      <c r="F969" s="736">
        <f t="shared" si="55"/>
        <v>0</v>
      </c>
      <c r="G969" s="794">
        <f t="shared" si="56"/>
        <v>0</v>
      </c>
      <c r="H969" s="795">
        <f t="shared" si="57"/>
        <v>0</v>
      </c>
      <c r="I969" s="792">
        <f t="shared" si="58"/>
        <v>0</v>
      </c>
      <c r="J969" s="792"/>
      <c r="K969" s="812"/>
      <c r="L969" s="796"/>
      <c r="M969" s="812"/>
      <c r="N969" s="796"/>
      <c r="O969" s="796"/>
    </row>
    <row r="970" spans="3:15" ht="13.5" thickBot="1">
      <c r="C970" s="798">
        <f>IF(D905="","-",+C969+1)</f>
        <v>2075</v>
      </c>
      <c r="D970" s="799">
        <f t="shared" si="54"/>
        <v>0</v>
      </c>
      <c r="E970" s="800">
        <f t="shared" si="59"/>
        <v>0</v>
      </c>
      <c r="F970" s="799">
        <f t="shared" si="55"/>
        <v>0</v>
      </c>
      <c r="G970" s="801">
        <f t="shared" si="56"/>
        <v>0</v>
      </c>
      <c r="H970" s="801">
        <f t="shared" si="57"/>
        <v>0</v>
      </c>
      <c r="I970" s="802">
        <f t="shared" si="58"/>
        <v>0</v>
      </c>
      <c r="J970" s="792"/>
      <c r="K970" s="813"/>
      <c r="L970" s="803"/>
      <c r="M970" s="813"/>
      <c r="N970" s="803"/>
      <c r="O970" s="803"/>
    </row>
    <row r="971" spans="3:15">
      <c r="C971" s="736" t="s">
        <v>83</v>
      </c>
      <c r="D971" s="730"/>
      <c r="E971" s="730">
        <f>SUM(E911:E970)</f>
        <v>12409951.040000001</v>
      </c>
      <c r="F971" s="730"/>
      <c r="G971" s="730">
        <f>SUM(G911:G970)</f>
        <v>40384802.46978578</v>
      </c>
      <c r="H971" s="730">
        <f>SUM(H911:H970)</f>
        <v>40384802.46978578</v>
      </c>
      <c r="I971" s="730">
        <f>SUM(I911:I970)</f>
        <v>0</v>
      </c>
      <c r="J971" s="730"/>
      <c r="K971" s="730"/>
      <c r="L971" s="730"/>
      <c r="M971" s="730"/>
      <c r="N971" s="730"/>
      <c r="O971" s="314"/>
    </row>
    <row r="972" spans="3:15">
      <c r="D972" s="538"/>
      <c r="E972" s="314"/>
      <c r="F972" s="314"/>
      <c r="G972" s="314"/>
      <c r="H972" s="708"/>
      <c r="I972" s="708"/>
      <c r="J972" s="730"/>
      <c r="K972" s="708"/>
      <c r="L972" s="708"/>
      <c r="M972" s="708"/>
      <c r="N972" s="708"/>
      <c r="O972" s="314"/>
    </row>
    <row r="973" spans="3:15">
      <c r="C973" s="314" t="s">
        <v>13</v>
      </c>
      <c r="D973" s="538"/>
      <c r="E973" s="314"/>
      <c r="F973" s="314"/>
      <c r="G973" s="314"/>
      <c r="H973" s="708"/>
      <c r="I973" s="708"/>
      <c r="J973" s="730"/>
      <c r="K973" s="708"/>
      <c r="L973" s="708"/>
      <c r="M973" s="708"/>
      <c r="N973" s="708"/>
      <c r="O973" s="314"/>
    </row>
    <row r="974" spans="3:15">
      <c r="C974" s="314"/>
      <c r="D974" s="538"/>
      <c r="E974" s="314"/>
      <c r="F974" s="314"/>
      <c r="G974" s="314"/>
      <c r="H974" s="708"/>
      <c r="I974" s="708"/>
      <c r="J974" s="730"/>
      <c r="K974" s="708"/>
      <c r="L974" s="708"/>
      <c r="M974" s="708"/>
      <c r="N974" s="708"/>
      <c r="O974" s="314"/>
    </row>
    <row r="975" spans="3:15">
      <c r="C975" s="749" t="s">
        <v>14</v>
      </c>
      <c r="D975" s="736"/>
      <c r="E975" s="736"/>
      <c r="F975" s="736"/>
      <c r="G975" s="730"/>
      <c r="H975" s="730"/>
      <c r="I975" s="804"/>
      <c r="J975" s="804"/>
      <c r="K975" s="804"/>
      <c r="L975" s="804"/>
      <c r="M975" s="804"/>
      <c r="N975" s="804"/>
      <c r="O975" s="314"/>
    </row>
    <row r="976" spans="3:15">
      <c r="C976" s="735" t="s">
        <v>263</v>
      </c>
      <c r="D976" s="736"/>
      <c r="E976" s="736"/>
      <c r="F976" s="736"/>
      <c r="G976" s="730"/>
      <c r="H976" s="730"/>
      <c r="I976" s="804"/>
      <c r="J976" s="804"/>
      <c r="K976" s="804"/>
      <c r="L976" s="804"/>
      <c r="M976" s="804"/>
      <c r="N976" s="804"/>
      <c r="O976" s="314"/>
    </row>
    <row r="977" spans="1:16">
      <c r="C977" s="735" t="s">
        <v>84</v>
      </c>
      <c r="D977" s="736"/>
      <c r="E977" s="736"/>
      <c r="F977" s="736"/>
      <c r="G977" s="730"/>
      <c r="H977" s="730"/>
      <c r="I977" s="804"/>
      <c r="J977" s="804"/>
      <c r="K977" s="804"/>
      <c r="L977" s="804"/>
      <c r="M977" s="804"/>
      <c r="N977" s="804"/>
      <c r="O977" s="314"/>
    </row>
    <row r="978" spans="1:16">
      <c r="C978" s="735"/>
      <c r="D978" s="736"/>
      <c r="E978" s="736"/>
      <c r="F978" s="736"/>
      <c r="G978" s="730"/>
      <c r="H978" s="730"/>
      <c r="I978" s="804"/>
      <c r="J978" s="804"/>
      <c r="K978" s="804"/>
      <c r="L978" s="804"/>
      <c r="M978" s="804"/>
      <c r="N978" s="804"/>
      <c r="O978" s="314"/>
    </row>
    <row r="979" spans="1:16">
      <c r="C979" s="1526" t="s">
        <v>6</v>
      </c>
      <c r="D979" s="1526"/>
      <c r="E979" s="1526"/>
      <c r="F979" s="1526"/>
      <c r="G979" s="1526"/>
      <c r="H979" s="1526"/>
      <c r="I979" s="1526"/>
      <c r="J979" s="1526"/>
      <c r="K979" s="1526"/>
      <c r="L979" s="1526"/>
      <c r="M979" s="1526"/>
      <c r="N979" s="1526"/>
      <c r="O979" s="1526"/>
    </row>
    <row r="980" spans="1:16">
      <c r="C980" s="1526"/>
      <c r="D980" s="1526"/>
      <c r="E980" s="1526"/>
      <c r="F980" s="1526"/>
      <c r="G980" s="1526"/>
      <c r="H980" s="1526"/>
      <c r="I980" s="1526"/>
      <c r="J980" s="1526"/>
      <c r="K980" s="1526"/>
      <c r="L980" s="1526"/>
      <c r="M980" s="1526"/>
      <c r="N980" s="1526"/>
      <c r="O980" s="1526"/>
    </row>
    <row r="981" spans="1:16">
      <c r="C981" s="735"/>
      <c r="D981" s="736"/>
      <c r="E981" s="736"/>
      <c r="F981" s="736"/>
      <c r="G981" s="730"/>
      <c r="H981" s="730"/>
    </row>
    <row r="982" spans="1:16" ht="20.25">
      <c r="A982" s="737" t="str">
        <f>""&amp;A906&amp;" Worksheet J -  ATRR PROJECTED Calculation for PJM Projects Charged to Benefiting Zones"</f>
        <v xml:space="preserve"> Worksheet J -  ATRR PROJECTED Calculation for PJM Projects Charged to Benefiting Zones</v>
      </c>
      <c r="B982" s="348"/>
      <c r="C982" s="725"/>
      <c r="D982" s="538"/>
      <c r="E982" s="314"/>
      <c r="F982" s="707"/>
      <c r="G982" s="314"/>
      <c r="H982" s="708"/>
      <c r="K982" s="564"/>
      <c r="L982" s="564"/>
      <c r="M982" s="564"/>
      <c r="N982" s="653" t="str">
        <f>"Page "&amp;SUM(P$8:P982)&amp;" of "</f>
        <v xml:space="preserve">Page 12 of </v>
      </c>
      <c r="O982" s="654">
        <f>COUNT(P$8:P$56653)</f>
        <v>12</v>
      </c>
      <c r="P982" s="738">
        <v>1</v>
      </c>
    </row>
    <row r="983" spans="1:16">
      <c r="B983" s="348"/>
      <c r="C983" s="314"/>
      <c r="D983" s="538"/>
      <c r="E983" s="314"/>
      <c r="F983" s="314"/>
      <c r="G983" s="314"/>
      <c r="H983" s="708"/>
      <c r="I983" s="314"/>
      <c r="J983" s="427"/>
      <c r="K983" s="314"/>
      <c r="L983" s="314"/>
      <c r="M983" s="314"/>
      <c r="N983" s="314"/>
      <c r="O983" s="314"/>
      <c r="P983" s="427"/>
    </row>
    <row r="984" spans="1:16" ht="18">
      <c r="B984" s="657" t="s">
        <v>464</v>
      </c>
      <c r="C984" s="739" t="s">
        <v>85</v>
      </c>
      <c r="D984" s="538"/>
      <c r="E984" s="314"/>
      <c r="F984" s="314"/>
      <c r="G984" s="314"/>
      <c r="H984" s="708"/>
      <c r="I984" s="708"/>
      <c r="J984" s="730"/>
      <c r="K984" s="708"/>
      <c r="L984" s="708"/>
      <c r="M984" s="708"/>
      <c r="N984" s="708"/>
      <c r="O984" s="314"/>
    </row>
    <row r="985" spans="1:16" ht="18.75">
      <c r="B985" s="657"/>
      <c r="C985" s="656"/>
      <c r="D985" s="538"/>
      <c r="E985" s="314"/>
      <c r="F985" s="314"/>
      <c r="G985" s="314"/>
      <c r="H985" s="708"/>
      <c r="I985" s="708"/>
      <c r="J985" s="730"/>
      <c r="K985" s="708"/>
      <c r="L985" s="708"/>
      <c r="M985" s="708"/>
      <c r="N985" s="708"/>
      <c r="O985" s="314"/>
    </row>
    <row r="986" spans="1:16" ht="18.75">
      <c r="B986" s="657"/>
      <c r="C986" s="656" t="s">
        <v>86</v>
      </c>
      <c r="D986" s="538"/>
      <c r="E986" s="314"/>
      <c r="F986" s="314"/>
      <c r="G986" s="314"/>
      <c r="H986" s="708"/>
      <c r="I986" s="708"/>
      <c r="J986" s="730"/>
      <c r="K986" s="708"/>
      <c r="L986" s="708"/>
      <c r="M986" s="708"/>
      <c r="N986" s="708"/>
      <c r="O986" s="314"/>
    </row>
    <row r="987" spans="1:16" ht="15.75" thickBot="1">
      <c r="C987" s="240"/>
      <c r="D987" s="538"/>
      <c r="E987" s="314"/>
      <c r="F987" s="314"/>
      <c r="G987" s="314"/>
      <c r="H987" s="708"/>
      <c r="I987" s="708"/>
      <c r="J987" s="730"/>
      <c r="K987" s="708"/>
      <c r="L987" s="708"/>
      <c r="M987" s="708"/>
      <c r="N987" s="708"/>
      <c r="O987" s="314"/>
    </row>
    <row r="988" spans="1:16" ht="15.75">
      <c r="C988" s="659" t="s">
        <v>87</v>
      </c>
      <c r="D988" s="538"/>
      <c r="E988" s="314"/>
      <c r="F988" s="314"/>
      <c r="G988" s="806"/>
      <c r="H988" s="314" t="s">
        <v>66</v>
      </c>
      <c r="I988" s="314"/>
      <c r="J988" s="427"/>
      <c r="K988" s="740" t="s">
        <v>91</v>
      </c>
      <c r="L988" s="741"/>
      <c r="M988" s="742"/>
      <c r="N988" s="743">
        <f>IF(I994=0,0,VLOOKUP(I994,C1001:O1060,5))</f>
        <v>2311453.5083828541</v>
      </c>
      <c r="O988" s="314"/>
    </row>
    <row r="989" spans="1:16" ht="15.75">
      <c r="C989" s="659"/>
      <c r="D989" s="538"/>
      <c r="E989" s="314"/>
      <c r="F989" s="314"/>
      <c r="G989" s="314"/>
      <c r="H989" s="744"/>
      <c r="I989" s="744"/>
      <c r="J989" s="745"/>
      <c r="K989" s="746" t="s">
        <v>92</v>
      </c>
      <c r="L989" s="747"/>
      <c r="M989" s="427"/>
      <c r="N989" s="748">
        <f>IF(I994=0,0,VLOOKUP(I994,C1001:O1060,6))</f>
        <v>2311453.5083828541</v>
      </c>
      <c r="O989" s="314"/>
    </row>
    <row r="990" spans="1:16" ht="13.5" thickBot="1">
      <c r="C990" s="749" t="s">
        <v>88</v>
      </c>
      <c r="D990" s="1527" t="s">
        <v>821</v>
      </c>
      <c r="E990" s="1527"/>
      <c r="F990" s="1527"/>
      <c r="G990" s="1527"/>
      <c r="H990" s="1527"/>
      <c r="I990" s="1527"/>
      <c r="J990" s="730"/>
      <c r="K990" s="750" t="s">
        <v>230</v>
      </c>
      <c r="L990" s="751"/>
      <c r="M990" s="751"/>
      <c r="N990" s="752">
        <f>+N989-N988</f>
        <v>0</v>
      </c>
      <c r="O990" s="314"/>
    </row>
    <row r="991" spans="1:16">
      <c r="C991" s="753"/>
      <c r="D991" s="754"/>
      <c r="E991" s="734"/>
      <c r="F991" s="734"/>
      <c r="G991" s="755"/>
      <c r="H991" s="708"/>
      <c r="I991" s="708"/>
      <c r="J991" s="730"/>
      <c r="K991" s="708"/>
      <c r="L991" s="708"/>
      <c r="M991" s="708"/>
      <c r="N991" s="708"/>
      <c r="O991" s="314"/>
    </row>
    <row r="992" spans="1:16" ht="13.5" thickBot="1">
      <c r="C992" s="756"/>
      <c r="D992" s="757"/>
      <c r="E992" s="755"/>
      <c r="F992" s="755"/>
      <c r="G992" s="755"/>
      <c r="H992" s="755"/>
      <c r="I992" s="755"/>
      <c r="J992" s="758"/>
      <c r="K992" s="755"/>
      <c r="L992" s="755"/>
      <c r="M992" s="755"/>
      <c r="N992" s="755"/>
      <c r="O992" s="348"/>
    </row>
    <row r="993" spans="2:15" ht="13.5" thickBot="1">
      <c r="C993" s="759" t="s">
        <v>89</v>
      </c>
      <c r="D993" s="760"/>
      <c r="E993" s="760"/>
      <c r="F993" s="760"/>
      <c r="G993" s="760"/>
      <c r="H993" s="760"/>
      <c r="I993" s="761"/>
      <c r="J993" s="762"/>
      <c r="K993" s="314"/>
      <c r="L993" s="314"/>
      <c r="M993" s="314"/>
      <c r="N993" s="314"/>
      <c r="O993" s="763"/>
    </row>
    <row r="994" spans="2:15" ht="15">
      <c r="C994" s="764" t="s">
        <v>67</v>
      </c>
      <c r="D994" s="808">
        <v>19770916.629999999</v>
      </c>
      <c r="E994" s="725" t="s">
        <v>68</v>
      </c>
      <c r="G994" s="765"/>
      <c r="H994" s="765"/>
      <c r="I994" s="766">
        <f>$L$26</f>
        <v>2025</v>
      </c>
      <c r="J994" s="554"/>
      <c r="K994" s="1528" t="s">
        <v>239</v>
      </c>
      <c r="L994" s="1528"/>
      <c r="M994" s="1528"/>
      <c r="N994" s="1528"/>
      <c r="O994" s="1528"/>
    </row>
    <row r="995" spans="2:15">
      <c r="C995" s="764" t="s">
        <v>70</v>
      </c>
      <c r="D995" s="809">
        <v>2017</v>
      </c>
      <c r="E995" s="764" t="s">
        <v>71</v>
      </c>
      <c r="F995" s="765"/>
      <c r="H995" s="173"/>
      <c r="I995" s="810">
        <f>IF(G988="",0,$F$17)</f>
        <v>0</v>
      </c>
      <c r="J995" s="767"/>
      <c r="K995" s="730" t="s">
        <v>239</v>
      </c>
    </row>
    <row r="996" spans="2:15">
      <c r="C996" s="764" t="s">
        <v>72</v>
      </c>
      <c r="D996" s="808">
        <v>11</v>
      </c>
      <c r="E996" s="764" t="s">
        <v>73</v>
      </c>
      <c r="F996" s="765"/>
      <c r="H996" s="173"/>
      <c r="I996" s="768">
        <f>$G$70</f>
        <v>0.11318296473052861</v>
      </c>
      <c r="J996" s="769"/>
      <c r="K996" s="173" t="str">
        <f>"          INPUT PROJECTED ARR (WITH &amp; WITHOUT INCENTIVES) FROM EACH PRIOR YEAR"</f>
        <v xml:space="preserve">          INPUT PROJECTED ARR (WITH &amp; WITHOUT INCENTIVES) FROM EACH PRIOR YEAR</v>
      </c>
    </row>
    <row r="997" spans="2:15">
      <c r="C997" s="764" t="s">
        <v>74</v>
      </c>
      <c r="D997" s="770">
        <f>$G$79</f>
        <v>38</v>
      </c>
      <c r="E997" s="764" t="s">
        <v>75</v>
      </c>
      <c r="F997" s="765"/>
      <c r="H997" s="173"/>
      <c r="I997" s="768">
        <f>IF(G988="",I996,$G$69)</f>
        <v>0.11318296473052861</v>
      </c>
      <c r="J997" s="771"/>
      <c r="K997" s="173" t="s">
        <v>152</v>
      </c>
    </row>
    <row r="998" spans="2:15" ht="13.5" thickBot="1">
      <c r="C998" s="764" t="s">
        <v>76</v>
      </c>
      <c r="D998" s="807" t="s">
        <v>810</v>
      </c>
      <c r="E998" s="772" t="s">
        <v>77</v>
      </c>
      <c r="F998" s="773"/>
      <c r="G998" s="774"/>
      <c r="H998" s="774"/>
      <c r="I998" s="752">
        <f>IF(D994=0,0,D994/D997)</f>
        <v>520287.27973684209</v>
      </c>
      <c r="J998" s="730"/>
      <c r="K998" s="730" t="s">
        <v>158</v>
      </c>
      <c r="L998" s="730"/>
      <c r="M998" s="730"/>
      <c r="N998" s="730"/>
      <c r="O998" s="427"/>
    </row>
    <row r="999" spans="2:15" ht="38.25">
      <c r="B999" s="845"/>
      <c r="C999" s="775" t="s">
        <v>67</v>
      </c>
      <c r="D999" s="776" t="s">
        <v>78</v>
      </c>
      <c r="E999" s="777" t="s">
        <v>79</v>
      </c>
      <c r="F999" s="776" t="s">
        <v>80</v>
      </c>
      <c r="G999" s="777" t="s">
        <v>151</v>
      </c>
      <c r="H999" s="778" t="s">
        <v>151</v>
      </c>
      <c r="I999" s="775" t="s">
        <v>90</v>
      </c>
      <c r="J999" s="779"/>
      <c r="K999" s="777" t="s">
        <v>160</v>
      </c>
      <c r="L999" s="780"/>
      <c r="M999" s="777" t="s">
        <v>160</v>
      </c>
      <c r="N999" s="780"/>
      <c r="O999" s="780"/>
    </row>
    <row r="1000" spans="2:15" ht="13.5" thickBot="1">
      <c r="C1000" s="781" t="s">
        <v>467</v>
      </c>
      <c r="D1000" s="782" t="s">
        <v>468</v>
      </c>
      <c r="E1000" s="781" t="s">
        <v>361</v>
      </c>
      <c r="F1000" s="782" t="s">
        <v>468</v>
      </c>
      <c r="G1000" s="783" t="s">
        <v>93</v>
      </c>
      <c r="H1000" s="784" t="s">
        <v>95</v>
      </c>
      <c r="I1000" s="785" t="s">
        <v>15</v>
      </c>
      <c r="J1000" s="786"/>
      <c r="K1000" s="783" t="s">
        <v>82</v>
      </c>
      <c r="L1000" s="787"/>
      <c r="M1000" s="783" t="s">
        <v>95</v>
      </c>
      <c r="N1000" s="787"/>
      <c r="O1000" s="787"/>
    </row>
    <row r="1001" spans="2:15">
      <c r="C1001" s="788">
        <f>IF(D995= "","-",D995)</f>
        <v>2017</v>
      </c>
      <c r="D1001" s="736">
        <f>+D994</f>
        <v>19770916.629999999</v>
      </c>
      <c r="E1001" s="789">
        <f>+I998/12*(12-D996)</f>
        <v>43357.273311403507</v>
      </c>
      <c r="F1001" s="736">
        <f>+D1001-E1001</f>
        <v>19727559.356688596</v>
      </c>
      <c r="G1001" s="999">
        <f>+$I$96*((D1001+F1001)/2)+E1001</f>
        <v>2278634.5805669068</v>
      </c>
      <c r="H1001" s="1000">
        <f>$I$97*((D1001+F1001)/2)+E1001</f>
        <v>2278634.5805669068</v>
      </c>
      <c r="I1001" s="792">
        <f>+H1001-G1001</f>
        <v>0</v>
      </c>
      <c r="J1001" s="792"/>
      <c r="K1001" s="811">
        <v>1226646</v>
      </c>
      <c r="L1001" s="793"/>
      <c r="M1001" s="811">
        <v>1226646</v>
      </c>
      <c r="N1001" s="793"/>
      <c r="O1001" s="793"/>
    </row>
    <row r="1002" spans="2:15">
      <c r="C1002" s="1315">
        <f>IF(D995="","-",+C1001+1)</f>
        <v>2018</v>
      </c>
      <c r="D1002" s="736">
        <f t="shared" ref="D1002:D1060" si="60">F1001</f>
        <v>19727559.356688596</v>
      </c>
      <c r="E1002" s="789">
        <f>IF(D1002&gt;$I$998,$I$998,D1002)</f>
        <v>520287.27973684209</v>
      </c>
      <c r="F1002" s="736">
        <f t="shared" ref="F1002:F1060" si="61">+D1002-E1002</f>
        <v>19207272.076951753</v>
      </c>
      <c r="G1002" s="794">
        <f t="shared" ref="G1002:G1060" si="62">+$I$96*((D1002+F1002)/2)+E1002</f>
        <v>2723667.1062082378</v>
      </c>
      <c r="H1002" s="795">
        <f t="shared" ref="H1002:H1060" si="63">$I$97*((D1002+F1002)/2)+E1002</f>
        <v>2723667.1062082378</v>
      </c>
      <c r="I1002" s="792">
        <f t="shared" ref="I1002:I1060" si="64">+H1002-G1002</f>
        <v>0</v>
      </c>
      <c r="J1002" s="792"/>
      <c r="K1002" s="812">
        <v>2159068</v>
      </c>
      <c r="L1002" s="796"/>
      <c r="M1002" s="812">
        <v>2159068</v>
      </c>
      <c r="N1002" s="796"/>
      <c r="O1002" s="796"/>
    </row>
    <row r="1003" spans="2:15">
      <c r="C1003" s="1315">
        <f>IF(D995="","-",+C1002+1)</f>
        <v>2019</v>
      </c>
      <c r="D1003" s="736">
        <f t="shared" si="60"/>
        <v>19207272.076951753</v>
      </c>
      <c r="E1003" s="789">
        <f t="shared" ref="E1003:E1060" si="65">IF(D1003&gt;$I$998,$I$998,D1003)</f>
        <v>520287.27973684209</v>
      </c>
      <c r="F1003" s="736">
        <f t="shared" si="61"/>
        <v>18686984.79721491</v>
      </c>
      <c r="G1003" s="794">
        <f t="shared" si="62"/>
        <v>2664779.4493760406</v>
      </c>
      <c r="H1003" s="795">
        <f t="shared" si="63"/>
        <v>2664779.4493760406</v>
      </c>
      <c r="I1003" s="792">
        <f t="shared" si="64"/>
        <v>0</v>
      </c>
      <c r="J1003" s="792"/>
      <c r="K1003" s="812">
        <v>2374314.9777875165</v>
      </c>
      <c r="L1003" s="796"/>
      <c r="M1003" s="812">
        <v>2374314.9777875165</v>
      </c>
      <c r="N1003" s="796"/>
      <c r="O1003" s="796"/>
    </row>
    <row r="1004" spans="2:15">
      <c r="C1004" s="1315">
        <f>IF(D994="","-",+C1003+1)</f>
        <v>2020</v>
      </c>
      <c r="D1004" s="736">
        <f t="shared" si="60"/>
        <v>18686984.79721491</v>
      </c>
      <c r="E1004" s="789">
        <f t="shared" si="65"/>
        <v>520287.27973684209</v>
      </c>
      <c r="F1004" s="736">
        <f t="shared" si="61"/>
        <v>18166697.517478067</v>
      </c>
      <c r="G1004" s="794">
        <f t="shared" si="62"/>
        <v>2605891.7925438425</v>
      </c>
      <c r="H1004" s="795">
        <f t="shared" si="63"/>
        <v>2605891.7925438425</v>
      </c>
      <c r="I1004" s="792">
        <f t="shared" si="64"/>
        <v>0</v>
      </c>
      <c r="J1004" s="792"/>
      <c r="K1004" s="812">
        <v>2368754.3317693765</v>
      </c>
      <c r="L1004" s="796"/>
      <c r="M1004" s="812">
        <v>2368754.3317693765</v>
      </c>
      <c r="N1004" s="796"/>
      <c r="O1004" s="796"/>
    </row>
    <row r="1005" spans="2:15">
      <c r="C1005" s="1315">
        <f>IF(D994="","-",+C1004+1)</f>
        <v>2021</v>
      </c>
      <c r="D1005" s="736">
        <f t="shared" si="60"/>
        <v>18166697.517478067</v>
      </c>
      <c r="E1005" s="789">
        <f t="shared" si="65"/>
        <v>520287.27973684209</v>
      </c>
      <c r="F1005" s="736">
        <f t="shared" si="61"/>
        <v>17646410.237741224</v>
      </c>
      <c r="G1005" s="794">
        <f t="shared" si="62"/>
        <v>2547004.1357116452</v>
      </c>
      <c r="H1005" s="795">
        <f t="shared" si="63"/>
        <v>2547004.1357116452</v>
      </c>
      <c r="I1005" s="792">
        <f t="shared" si="64"/>
        <v>0</v>
      </c>
      <c r="J1005" s="792"/>
      <c r="K1005" s="812">
        <v>2399100.8654554258</v>
      </c>
      <c r="L1005" s="796"/>
      <c r="M1005" s="812">
        <v>2399100.8654554258</v>
      </c>
      <c r="N1005" s="796"/>
      <c r="O1005" s="796"/>
    </row>
    <row r="1006" spans="2:15">
      <c r="C1006" s="1315">
        <f>IF(D995="","-",+C1005+1)</f>
        <v>2022</v>
      </c>
      <c r="D1006" s="736">
        <f t="shared" si="60"/>
        <v>17646410.237741224</v>
      </c>
      <c r="E1006" s="789">
        <f t="shared" si="65"/>
        <v>520287.27973684209</v>
      </c>
      <c r="F1006" s="736">
        <f t="shared" si="61"/>
        <v>17126122.958004382</v>
      </c>
      <c r="G1006" s="794">
        <f t="shared" si="62"/>
        <v>2488116.4788794471</v>
      </c>
      <c r="H1006" s="795">
        <f t="shared" si="63"/>
        <v>2488116.4788794471</v>
      </c>
      <c r="I1006" s="792">
        <f t="shared" si="64"/>
        <v>0</v>
      </c>
      <c r="J1006" s="792"/>
      <c r="K1006" s="812">
        <v>2397854.6533225263</v>
      </c>
      <c r="L1006" s="796"/>
      <c r="M1006" s="812">
        <v>2397854.6533225263</v>
      </c>
      <c r="N1006" s="796"/>
      <c r="O1006" s="796"/>
    </row>
    <row r="1007" spans="2:15">
      <c r="C1007" s="1315">
        <f>IF(D995="","-",+C1006+1)</f>
        <v>2023</v>
      </c>
      <c r="D1007" s="736">
        <f t="shared" si="60"/>
        <v>17126122.958004382</v>
      </c>
      <c r="E1007" s="789">
        <f t="shared" si="65"/>
        <v>520287.27973684209</v>
      </c>
      <c r="F1007" s="736">
        <f t="shared" si="61"/>
        <v>16605835.678267539</v>
      </c>
      <c r="G1007" s="794">
        <f t="shared" si="62"/>
        <v>2429228.8220472494</v>
      </c>
      <c r="H1007" s="795">
        <f t="shared" si="63"/>
        <v>2429228.8220472494</v>
      </c>
      <c r="I1007" s="792">
        <f t="shared" si="64"/>
        <v>0</v>
      </c>
      <c r="J1007" s="792"/>
      <c r="K1007" s="812">
        <v>2395190.292148761</v>
      </c>
      <c r="L1007" s="796"/>
      <c r="M1007" s="812">
        <v>2395190.292148761</v>
      </c>
      <c r="N1007" s="796"/>
      <c r="O1007" s="796"/>
    </row>
    <row r="1008" spans="2:15">
      <c r="C1008" s="1433">
        <f>IF(D995="","-",+C1007+1)</f>
        <v>2024</v>
      </c>
      <c r="D1008" s="736">
        <f t="shared" si="60"/>
        <v>16605835.678267539</v>
      </c>
      <c r="E1008" s="789">
        <f t="shared" si="65"/>
        <v>520287.27973684209</v>
      </c>
      <c r="F1008" s="736">
        <f t="shared" si="61"/>
        <v>16085548.398530696</v>
      </c>
      <c r="G1008" s="794">
        <f t="shared" si="62"/>
        <v>2370341.1652150517</v>
      </c>
      <c r="H1008" s="795">
        <f t="shared" si="63"/>
        <v>2370341.1652150517</v>
      </c>
      <c r="I1008" s="792">
        <f t="shared" si="64"/>
        <v>0</v>
      </c>
      <c r="J1008" s="792"/>
      <c r="K1008" s="812">
        <v>2381637.4376628371</v>
      </c>
      <c r="L1008" s="796"/>
      <c r="M1008" s="812">
        <v>2381637.4376628371</v>
      </c>
      <c r="N1008" s="796"/>
      <c r="O1008" s="796"/>
    </row>
    <row r="1009" spans="3:15">
      <c r="C1009" s="1311">
        <f>IF(D995="","-",+C1008+1)</f>
        <v>2025</v>
      </c>
      <c r="D1009" s="736">
        <f t="shared" si="60"/>
        <v>16085548.398530696</v>
      </c>
      <c r="E1009" s="789">
        <f t="shared" si="65"/>
        <v>520287.27973684209</v>
      </c>
      <c r="F1009" s="736">
        <f t="shared" si="61"/>
        <v>15565261.118793853</v>
      </c>
      <c r="G1009" s="794">
        <f t="shared" si="62"/>
        <v>2311453.5083828541</v>
      </c>
      <c r="H1009" s="795">
        <f t="shared" si="63"/>
        <v>2311453.5083828541</v>
      </c>
      <c r="I1009" s="792">
        <f t="shared" si="64"/>
        <v>0</v>
      </c>
      <c r="J1009" s="792"/>
      <c r="K1009" s="812"/>
      <c r="L1009" s="796"/>
      <c r="M1009" s="812"/>
      <c r="N1009" s="796"/>
      <c r="O1009" s="796"/>
    </row>
    <row r="1010" spans="3:15">
      <c r="C1010" s="788">
        <f>IF(D995="","-",+C1009+1)</f>
        <v>2026</v>
      </c>
      <c r="D1010" s="736">
        <f t="shared" si="60"/>
        <v>15565261.118793853</v>
      </c>
      <c r="E1010" s="789">
        <f t="shared" si="65"/>
        <v>520287.27973684209</v>
      </c>
      <c r="F1010" s="736">
        <f t="shared" si="61"/>
        <v>15044973.83905701</v>
      </c>
      <c r="G1010" s="794">
        <f t="shared" si="62"/>
        <v>2252565.8515506559</v>
      </c>
      <c r="H1010" s="795">
        <f t="shared" si="63"/>
        <v>2252565.8515506559</v>
      </c>
      <c r="I1010" s="792">
        <f t="shared" si="64"/>
        <v>0</v>
      </c>
      <c r="J1010" s="792"/>
      <c r="K1010" s="812"/>
      <c r="L1010" s="796"/>
      <c r="M1010" s="812"/>
      <c r="N1010" s="796"/>
      <c r="O1010" s="796"/>
    </row>
    <row r="1011" spans="3:15">
      <c r="C1011" s="788">
        <f>IF(D995="","-",+C1010+1)</f>
        <v>2027</v>
      </c>
      <c r="D1011" s="736">
        <f t="shared" si="60"/>
        <v>15044973.83905701</v>
      </c>
      <c r="E1011" s="789">
        <f t="shared" si="65"/>
        <v>520287.27973684209</v>
      </c>
      <c r="F1011" s="736">
        <f t="shared" si="61"/>
        <v>14524686.559320167</v>
      </c>
      <c r="G1011" s="794">
        <f t="shared" si="62"/>
        <v>2193678.1947184582</v>
      </c>
      <c r="H1011" s="795">
        <f t="shared" si="63"/>
        <v>2193678.1947184582</v>
      </c>
      <c r="I1011" s="792">
        <f t="shared" si="64"/>
        <v>0</v>
      </c>
      <c r="J1011" s="792"/>
      <c r="K1011" s="812"/>
      <c r="L1011" s="796"/>
      <c r="M1011" s="812"/>
      <c r="N1011" s="796"/>
      <c r="O1011" s="796"/>
    </row>
    <row r="1012" spans="3:15">
      <c r="C1012" s="788">
        <f>IF(D995="","-",+C1011+1)</f>
        <v>2028</v>
      </c>
      <c r="D1012" s="736">
        <f t="shared" si="60"/>
        <v>14524686.559320167</v>
      </c>
      <c r="E1012" s="789">
        <f t="shared" si="65"/>
        <v>520287.27973684209</v>
      </c>
      <c r="F1012" s="736">
        <f t="shared" si="61"/>
        <v>14004399.279583324</v>
      </c>
      <c r="G1012" s="794">
        <f t="shared" si="62"/>
        <v>2134790.5378862605</v>
      </c>
      <c r="H1012" s="795">
        <f t="shared" si="63"/>
        <v>2134790.5378862605</v>
      </c>
      <c r="I1012" s="792">
        <f t="shared" si="64"/>
        <v>0</v>
      </c>
      <c r="J1012" s="792"/>
      <c r="K1012" s="812"/>
      <c r="L1012" s="796"/>
      <c r="M1012" s="812"/>
      <c r="N1012" s="796"/>
      <c r="O1012" s="796"/>
    </row>
    <row r="1013" spans="3:15">
      <c r="C1013" s="788">
        <f>IF(D995="","-",+C1012+1)</f>
        <v>2029</v>
      </c>
      <c r="D1013" s="736">
        <f t="shared" si="60"/>
        <v>14004399.279583324</v>
      </c>
      <c r="E1013" s="789">
        <f t="shared" si="65"/>
        <v>520287.27973684209</v>
      </c>
      <c r="F1013" s="736">
        <f t="shared" si="61"/>
        <v>13484111.999846481</v>
      </c>
      <c r="G1013" s="794">
        <f t="shared" si="62"/>
        <v>2075902.8810540626</v>
      </c>
      <c r="H1013" s="795">
        <f t="shared" si="63"/>
        <v>2075902.8810540626</v>
      </c>
      <c r="I1013" s="792">
        <f t="shared" si="64"/>
        <v>0</v>
      </c>
      <c r="J1013" s="792"/>
      <c r="K1013" s="812"/>
      <c r="L1013" s="796"/>
      <c r="M1013" s="812"/>
      <c r="N1013" s="797"/>
      <c r="O1013" s="796"/>
    </row>
    <row r="1014" spans="3:15">
      <c r="C1014" s="788">
        <f>IF(D995="","-",+C1013+1)</f>
        <v>2030</v>
      </c>
      <c r="D1014" s="736">
        <f t="shared" si="60"/>
        <v>13484111.999846481</v>
      </c>
      <c r="E1014" s="789">
        <f t="shared" si="65"/>
        <v>520287.27973684209</v>
      </c>
      <c r="F1014" s="736">
        <f t="shared" si="61"/>
        <v>12963824.720109638</v>
      </c>
      <c r="G1014" s="794">
        <f t="shared" si="62"/>
        <v>2017015.2242218649</v>
      </c>
      <c r="H1014" s="795">
        <f t="shared" si="63"/>
        <v>2017015.2242218649</v>
      </c>
      <c r="I1014" s="792">
        <f t="shared" si="64"/>
        <v>0</v>
      </c>
      <c r="J1014" s="792"/>
      <c r="K1014" s="812"/>
      <c r="L1014" s="796"/>
      <c r="M1014" s="812"/>
      <c r="N1014" s="796"/>
      <c r="O1014" s="796"/>
    </row>
    <row r="1015" spans="3:15">
      <c r="C1015" s="788">
        <f>IF(D995="","-",+C1014+1)</f>
        <v>2031</v>
      </c>
      <c r="D1015" s="736">
        <f t="shared" si="60"/>
        <v>12963824.720109638</v>
      </c>
      <c r="E1015" s="789">
        <f t="shared" si="65"/>
        <v>520287.27973684209</v>
      </c>
      <c r="F1015" s="736">
        <f t="shared" si="61"/>
        <v>12443537.440372795</v>
      </c>
      <c r="G1015" s="794">
        <f t="shared" si="62"/>
        <v>1958127.5673896673</v>
      </c>
      <c r="H1015" s="795">
        <f t="shared" si="63"/>
        <v>1958127.5673896673</v>
      </c>
      <c r="I1015" s="792">
        <f t="shared" si="64"/>
        <v>0</v>
      </c>
      <c r="J1015" s="792"/>
      <c r="K1015" s="812"/>
      <c r="L1015" s="796"/>
      <c r="M1015" s="812"/>
      <c r="N1015" s="796"/>
      <c r="O1015" s="796"/>
    </row>
    <row r="1016" spans="3:15">
      <c r="C1016" s="788">
        <f>IF(D995="","-",+C1015+1)</f>
        <v>2032</v>
      </c>
      <c r="D1016" s="736">
        <f t="shared" si="60"/>
        <v>12443537.440372795</v>
      </c>
      <c r="E1016" s="789">
        <f t="shared" si="65"/>
        <v>520287.27973684209</v>
      </c>
      <c r="F1016" s="736">
        <f t="shared" si="61"/>
        <v>11923250.160635952</v>
      </c>
      <c r="G1016" s="794">
        <f t="shared" si="62"/>
        <v>1899239.9105574694</v>
      </c>
      <c r="H1016" s="795">
        <f t="shared" si="63"/>
        <v>1899239.9105574694</v>
      </c>
      <c r="I1016" s="792">
        <f t="shared" si="64"/>
        <v>0</v>
      </c>
      <c r="J1016" s="792"/>
      <c r="K1016" s="812"/>
      <c r="L1016" s="796"/>
      <c r="M1016" s="812"/>
      <c r="N1016" s="796"/>
      <c r="O1016" s="796"/>
    </row>
    <row r="1017" spans="3:15">
      <c r="C1017" s="788">
        <f>IF(D995="","-",+C1016+1)</f>
        <v>2033</v>
      </c>
      <c r="D1017" s="736">
        <f t="shared" si="60"/>
        <v>11923250.160635952</v>
      </c>
      <c r="E1017" s="789">
        <f t="shared" si="65"/>
        <v>520287.27973684209</v>
      </c>
      <c r="F1017" s="736">
        <f t="shared" si="61"/>
        <v>11402962.880899109</v>
      </c>
      <c r="G1017" s="794">
        <f t="shared" si="62"/>
        <v>1840352.2537252717</v>
      </c>
      <c r="H1017" s="795">
        <f t="shared" si="63"/>
        <v>1840352.2537252717</v>
      </c>
      <c r="I1017" s="792">
        <f t="shared" si="64"/>
        <v>0</v>
      </c>
      <c r="J1017" s="792"/>
      <c r="K1017" s="812"/>
      <c r="L1017" s="796"/>
      <c r="M1017" s="812"/>
      <c r="N1017" s="796"/>
      <c r="O1017" s="796"/>
    </row>
    <row r="1018" spans="3:15">
      <c r="C1018" s="788">
        <f>IF(D995="","-",+C1017+1)</f>
        <v>2034</v>
      </c>
      <c r="D1018" s="736">
        <f t="shared" si="60"/>
        <v>11402962.880899109</v>
      </c>
      <c r="E1018" s="789">
        <f t="shared" si="65"/>
        <v>520287.27973684209</v>
      </c>
      <c r="F1018" s="736">
        <f t="shared" si="61"/>
        <v>10882675.601162266</v>
      </c>
      <c r="G1018" s="794">
        <f t="shared" si="62"/>
        <v>1781464.5968930738</v>
      </c>
      <c r="H1018" s="795">
        <f t="shared" si="63"/>
        <v>1781464.5968930738</v>
      </c>
      <c r="I1018" s="792">
        <f t="shared" si="64"/>
        <v>0</v>
      </c>
      <c r="J1018" s="792"/>
      <c r="K1018" s="812"/>
      <c r="L1018" s="796"/>
      <c r="M1018" s="812"/>
      <c r="N1018" s="796"/>
      <c r="O1018" s="796"/>
    </row>
    <row r="1019" spans="3:15">
      <c r="C1019" s="788">
        <f>IF(D995="","-",+C1018+1)</f>
        <v>2035</v>
      </c>
      <c r="D1019" s="736">
        <f t="shared" si="60"/>
        <v>10882675.601162266</v>
      </c>
      <c r="E1019" s="789">
        <f t="shared" si="65"/>
        <v>520287.27973684209</v>
      </c>
      <c r="F1019" s="736">
        <f t="shared" si="61"/>
        <v>10362388.321425423</v>
      </c>
      <c r="G1019" s="794">
        <f t="shared" si="62"/>
        <v>1722576.9400608761</v>
      </c>
      <c r="H1019" s="795">
        <f t="shared" si="63"/>
        <v>1722576.9400608761</v>
      </c>
      <c r="I1019" s="792">
        <f t="shared" si="64"/>
        <v>0</v>
      </c>
      <c r="J1019" s="792"/>
      <c r="K1019" s="812"/>
      <c r="L1019" s="796"/>
      <c r="M1019" s="812"/>
      <c r="N1019" s="796"/>
      <c r="O1019" s="796"/>
    </row>
    <row r="1020" spans="3:15">
      <c r="C1020" s="788">
        <f>IF(D995="","-",+C1019+1)</f>
        <v>2036</v>
      </c>
      <c r="D1020" s="736">
        <f t="shared" si="60"/>
        <v>10362388.321425423</v>
      </c>
      <c r="E1020" s="789">
        <f t="shared" si="65"/>
        <v>520287.27973684209</v>
      </c>
      <c r="F1020" s="736">
        <f t="shared" si="61"/>
        <v>9842101.0416885801</v>
      </c>
      <c r="G1020" s="794">
        <f t="shared" si="62"/>
        <v>1663689.2832286784</v>
      </c>
      <c r="H1020" s="795">
        <f t="shared" si="63"/>
        <v>1663689.2832286784</v>
      </c>
      <c r="I1020" s="792">
        <f t="shared" si="64"/>
        <v>0</v>
      </c>
      <c r="J1020" s="792"/>
      <c r="K1020" s="812"/>
      <c r="L1020" s="796"/>
      <c r="M1020" s="812"/>
      <c r="N1020" s="796"/>
      <c r="O1020" s="796"/>
    </row>
    <row r="1021" spans="3:15">
      <c r="C1021" s="788">
        <f>IF(D995="","-",+C1020+1)</f>
        <v>2037</v>
      </c>
      <c r="D1021" s="736">
        <f t="shared" si="60"/>
        <v>9842101.0416885801</v>
      </c>
      <c r="E1021" s="789">
        <f t="shared" si="65"/>
        <v>520287.27973684209</v>
      </c>
      <c r="F1021" s="736">
        <f t="shared" si="61"/>
        <v>9321813.7619517371</v>
      </c>
      <c r="G1021" s="794">
        <f t="shared" si="62"/>
        <v>1604801.6263964805</v>
      </c>
      <c r="H1021" s="795">
        <f t="shared" si="63"/>
        <v>1604801.6263964805</v>
      </c>
      <c r="I1021" s="792">
        <f t="shared" si="64"/>
        <v>0</v>
      </c>
      <c r="J1021" s="792"/>
      <c r="K1021" s="812"/>
      <c r="L1021" s="796"/>
      <c r="M1021" s="812"/>
      <c r="N1021" s="796"/>
      <c r="O1021" s="796"/>
    </row>
    <row r="1022" spans="3:15">
      <c r="C1022" s="788">
        <f>IF(D995="","-",+C1021+1)</f>
        <v>2038</v>
      </c>
      <c r="D1022" s="736">
        <f t="shared" si="60"/>
        <v>9321813.7619517371</v>
      </c>
      <c r="E1022" s="789">
        <f t="shared" si="65"/>
        <v>520287.27973684209</v>
      </c>
      <c r="F1022" s="736">
        <f t="shared" si="61"/>
        <v>8801526.4822148941</v>
      </c>
      <c r="G1022" s="794">
        <f t="shared" si="62"/>
        <v>1545913.9695642828</v>
      </c>
      <c r="H1022" s="795">
        <f t="shared" si="63"/>
        <v>1545913.9695642828</v>
      </c>
      <c r="I1022" s="792">
        <f t="shared" si="64"/>
        <v>0</v>
      </c>
      <c r="J1022" s="792"/>
      <c r="K1022" s="812"/>
      <c r="L1022" s="796"/>
      <c r="M1022" s="812"/>
      <c r="N1022" s="796"/>
      <c r="O1022" s="796"/>
    </row>
    <row r="1023" spans="3:15">
      <c r="C1023" s="788">
        <f>IF(D995="","-",+C1022+1)</f>
        <v>2039</v>
      </c>
      <c r="D1023" s="736">
        <f t="shared" si="60"/>
        <v>8801526.4822148941</v>
      </c>
      <c r="E1023" s="789">
        <f t="shared" si="65"/>
        <v>520287.27973684209</v>
      </c>
      <c r="F1023" s="736">
        <f t="shared" si="61"/>
        <v>8281239.2024780521</v>
      </c>
      <c r="G1023" s="794">
        <f t="shared" si="62"/>
        <v>1487026.3127320851</v>
      </c>
      <c r="H1023" s="795">
        <f t="shared" si="63"/>
        <v>1487026.3127320851</v>
      </c>
      <c r="I1023" s="792">
        <f t="shared" si="64"/>
        <v>0</v>
      </c>
      <c r="J1023" s="792"/>
      <c r="K1023" s="812"/>
      <c r="L1023" s="796"/>
      <c r="M1023" s="812"/>
      <c r="N1023" s="796"/>
      <c r="O1023" s="796"/>
    </row>
    <row r="1024" spans="3:15">
      <c r="C1024" s="788">
        <f>IF(D995="","-",+C1023+1)</f>
        <v>2040</v>
      </c>
      <c r="D1024" s="736">
        <f t="shared" si="60"/>
        <v>8281239.2024780521</v>
      </c>
      <c r="E1024" s="789">
        <f t="shared" si="65"/>
        <v>520287.27973684209</v>
      </c>
      <c r="F1024" s="736">
        <f t="shared" si="61"/>
        <v>7760951.9227412101</v>
      </c>
      <c r="G1024" s="794">
        <f t="shared" si="62"/>
        <v>1428138.6558998874</v>
      </c>
      <c r="H1024" s="795">
        <f t="shared" si="63"/>
        <v>1428138.6558998874</v>
      </c>
      <c r="I1024" s="792">
        <f t="shared" si="64"/>
        <v>0</v>
      </c>
      <c r="J1024" s="792"/>
      <c r="K1024" s="812"/>
      <c r="L1024" s="796"/>
      <c r="M1024" s="812"/>
      <c r="N1024" s="796"/>
      <c r="O1024" s="796"/>
    </row>
    <row r="1025" spans="3:15">
      <c r="C1025" s="788">
        <f>IF(D995="","-",+C1024+1)</f>
        <v>2041</v>
      </c>
      <c r="D1025" s="736">
        <f t="shared" si="60"/>
        <v>7760951.9227412101</v>
      </c>
      <c r="E1025" s="789">
        <f t="shared" si="65"/>
        <v>520287.27973684209</v>
      </c>
      <c r="F1025" s="736">
        <f t="shared" si="61"/>
        <v>7240664.6430043681</v>
      </c>
      <c r="G1025" s="794">
        <f t="shared" si="62"/>
        <v>1369250.9990676898</v>
      </c>
      <c r="H1025" s="795">
        <f t="shared" si="63"/>
        <v>1369250.9990676898</v>
      </c>
      <c r="I1025" s="792">
        <f t="shared" si="64"/>
        <v>0</v>
      </c>
      <c r="J1025" s="792"/>
      <c r="K1025" s="812"/>
      <c r="L1025" s="796"/>
      <c r="M1025" s="812"/>
      <c r="N1025" s="796"/>
      <c r="O1025" s="796"/>
    </row>
    <row r="1026" spans="3:15">
      <c r="C1026" s="788">
        <f>IF(D995="","-",+C1025+1)</f>
        <v>2042</v>
      </c>
      <c r="D1026" s="736">
        <f t="shared" si="60"/>
        <v>7240664.6430043681</v>
      </c>
      <c r="E1026" s="789">
        <f t="shared" si="65"/>
        <v>520287.27973684209</v>
      </c>
      <c r="F1026" s="736">
        <f t="shared" si="61"/>
        <v>6720377.363267526</v>
      </c>
      <c r="G1026" s="794">
        <f t="shared" si="62"/>
        <v>1310363.3422354923</v>
      </c>
      <c r="H1026" s="795">
        <f t="shared" si="63"/>
        <v>1310363.3422354923</v>
      </c>
      <c r="I1026" s="792">
        <f t="shared" si="64"/>
        <v>0</v>
      </c>
      <c r="J1026" s="792"/>
      <c r="K1026" s="812"/>
      <c r="L1026" s="796"/>
      <c r="M1026" s="812"/>
      <c r="N1026" s="796"/>
      <c r="O1026" s="796"/>
    </row>
    <row r="1027" spans="3:15">
      <c r="C1027" s="788">
        <f>IF(D995="","-",+C1026+1)</f>
        <v>2043</v>
      </c>
      <c r="D1027" s="736">
        <f t="shared" si="60"/>
        <v>6720377.363267526</v>
      </c>
      <c r="E1027" s="789">
        <f t="shared" si="65"/>
        <v>520287.27973684209</v>
      </c>
      <c r="F1027" s="736">
        <f t="shared" si="61"/>
        <v>6200090.083530684</v>
      </c>
      <c r="G1027" s="794">
        <f t="shared" si="62"/>
        <v>1251475.6854032944</v>
      </c>
      <c r="H1027" s="795">
        <f t="shared" si="63"/>
        <v>1251475.6854032944</v>
      </c>
      <c r="I1027" s="792">
        <f t="shared" si="64"/>
        <v>0</v>
      </c>
      <c r="J1027" s="792"/>
      <c r="K1027" s="812"/>
      <c r="L1027" s="796"/>
      <c r="M1027" s="812"/>
      <c r="N1027" s="796"/>
      <c r="O1027" s="796"/>
    </row>
    <row r="1028" spans="3:15">
      <c r="C1028" s="788">
        <f>IF(D995="","-",+C1027+1)</f>
        <v>2044</v>
      </c>
      <c r="D1028" s="736">
        <f t="shared" si="60"/>
        <v>6200090.083530684</v>
      </c>
      <c r="E1028" s="789">
        <f t="shared" si="65"/>
        <v>520287.27973684209</v>
      </c>
      <c r="F1028" s="736">
        <f t="shared" si="61"/>
        <v>5679802.803793842</v>
      </c>
      <c r="G1028" s="794">
        <f t="shared" si="62"/>
        <v>1192588.0285710969</v>
      </c>
      <c r="H1028" s="795">
        <f t="shared" si="63"/>
        <v>1192588.0285710969</v>
      </c>
      <c r="I1028" s="792">
        <f t="shared" si="64"/>
        <v>0</v>
      </c>
      <c r="J1028" s="792"/>
      <c r="K1028" s="812"/>
      <c r="L1028" s="796"/>
      <c r="M1028" s="812"/>
      <c r="N1028" s="796"/>
      <c r="O1028" s="796"/>
    </row>
    <row r="1029" spans="3:15">
      <c r="C1029" s="788">
        <f>IF(D995="","-",+C1028+1)</f>
        <v>2045</v>
      </c>
      <c r="D1029" s="736">
        <f t="shared" si="60"/>
        <v>5679802.803793842</v>
      </c>
      <c r="E1029" s="789">
        <f t="shared" si="65"/>
        <v>520287.27973684209</v>
      </c>
      <c r="F1029" s="736">
        <f t="shared" si="61"/>
        <v>5159515.5240569999</v>
      </c>
      <c r="G1029" s="790">
        <f t="shared" si="62"/>
        <v>1133700.371738899</v>
      </c>
      <c r="H1029" s="795">
        <f t="shared" si="63"/>
        <v>1133700.371738899</v>
      </c>
      <c r="I1029" s="792">
        <f t="shared" si="64"/>
        <v>0</v>
      </c>
      <c r="J1029" s="792"/>
      <c r="K1029" s="812"/>
      <c r="L1029" s="796"/>
      <c r="M1029" s="812"/>
      <c r="N1029" s="796"/>
      <c r="O1029" s="796"/>
    </row>
    <row r="1030" spans="3:15">
      <c r="C1030" s="788">
        <f>IF(D995="","-",+C1029+1)</f>
        <v>2046</v>
      </c>
      <c r="D1030" s="736">
        <f t="shared" si="60"/>
        <v>5159515.5240569999</v>
      </c>
      <c r="E1030" s="789">
        <f t="shared" si="65"/>
        <v>520287.27973684209</v>
      </c>
      <c r="F1030" s="736">
        <f t="shared" si="61"/>
        <v>4639228.2443201579</v>
      </c>
      <c r="G1030" s="794">
        <f t="shared" si="62"/>
        <v>1074812.7149067016</v>
      </c>
      <c r="H1030" s="795">
        <f t="shared" si="63"/>
        <v>1074812.7149067016</v>
      </c>
      <c r="I1030" s="792">
        <f t="shared" si="64"/>
        <v>0</v>
      </c>
      <c r="J1030" s="792"/>
      <c r="K1030" s="812"/>
      <c r="L1030" s="796"/>
      <c r="M1030" s="812"/>
      <c r="N1030" s="796"/>
      <c r="O1030" s="796"/>
    </row>
    <row r="1031" spans="3:15">
      <c r="C1031" s="788">
        <f>IF(D995="","-",+C1030+1)</f>
        <v>2047</v>
      </c>
      <c r="D1031" s="736">
        <f t="shared" si="60"/>
        <v>4639228.2443201579</v>
      </c>
      <c r="E1031" s="789">
        <f t="shared" si="65"/>
        <v>520287.27973684209</v>
      </c>
      <c r="F1031" s="736">
        <f t="shared" si="61"/>
        <v>4118940.9645833159</v>
      </c>
      <c r="G1031" s="794">
        <f t="shared" si="62"/>
        <v>1015925.0580745038</v>
      </c>
      <c r="H1031" s="795">
        <f t="shared" si="63"/>
        <v>1015925.0580745038</v>
      </c>
      <c r="I1031" s="792">
        <f t="shared" si="64"/>
        <v>0</v>
      </c>
      <c r="J1031" s="792"/>
      <c r="K1031" s="812"/>
      <c r="L1031" s="796"/>
      <c r="M1031" s="812"/>
      <c r="N1031" s="796"/>
      <c r="O1031" s="796"/>
    </row>
    <row r="1032" spans="3:15">
      <c r="C1032" s="788">
        <f>IF(D995="","-",+C1031+1)</f>
        <v>2048</v>
      </c>
      <c r="D1032" s="736">
        <f t="shared" si="60"/>
        <v>4118940.9645833159</v>
      </c>
      <c r="E1032" s="789">
        <f t="shared" si="65"/>
        <v>520287.27973684209</v>
      </c>
      <c r="F1032" s="736">
        <f t="shared" si="61"/>
        <v>3598653.6848464739</v>
      </c>
      <c r="G1032" s="794">
        <f t="shared" si="62"/>
        <v>957037.40124230622</v>
      </c>
      <c r="H1032" s="795">
        <f t="shared" si="63"/>
        <v>957037.40124230622</v>
      </c>
      <c r="I1032" s="792">
        <f t="shared" si="64"/>
        <v>0</v>
      </c>
      <c r="J1032" s="792"/>
      <c r="K1032" s="812"/>
      <c r="L1032" s="796"/>
      <c r="M1032" s="812"/>
      <c r="N1032" s="796"/>
      <c r="O1032" s="796"/>
    </row>
    <row r="1033" spans="3:15">
      <c r="C1033" s="788">
        <f>IF(D995="","-",+C1032+1)</f>
        <v>2049</v>
      </c>
      <c r="D1033" s="736">
        <f t="shared" si="60"/>
        <v>3598653.6848464739</v>
      </c>
      <c r="E1033" s="789">
        <f t="shared" si="65"/>
        <v>520287.27973684209</v>
      </c>
      <c r="F1033" s="736">
        <f t="shared" si="61"/>
        <v>3078366.4051096318</v>
      </c>
      <c r="G1033" s="794">
        <f t="shared" si="62"/>
        <v>898149.74441010854</v>
      </c>
      <c r="H1033" s="795">
        <f t="shared" si="63"/>
        <v>898149.74441010854</v>
      </c>
      <c r="I1033" s="792">
        <f t="shared" si="64"/>
        <v>0</v>
      </c>
      <c r="J1033" s="792"/>
      <c r="K1033" s="812"/>
      <c r="L1033" s="796"/>
      <c r="M1033" s="812"/>
      <c r="N1033" s="796"/>
      <c r="O1033" s="796"/>
    </row>
    <row r="1034" spans="3:15">
      <c r="C1034" s="788">
        <f>IF(D995="","-",+C1033+1)</f>
        <v>2050</v>
      </c>
      <c r="D1034" s="736">
        <f t="shared" si="60"/>
        <v>3078366.4051096318</v>
      </c>
      <c r="E1034" s="789">
        <f t="shared" si="65"/>
        <v>520287.27973684209</v>
      </c>
      <c r="F1034" s="736">
        <f t="shared" si="61"/>
        <v>2558079.1253727898</v>
      </c>
      <c r="G1034" s="794">
        <f t="shared" si="62"/>
        <v>839262.08757791086</v>
      </c>
      <c r="H1034" s="795">
        <f t="shared" si="63"/>
        <v>839262.08757791086</v>
      </c>
      <c r="I1034" s="792">
        <f t="shared" si="64"/>
        <v>0</v>
      </c>
      <c r="J1034" s="792"/>
      <c r="K1034" s="812"/>
      <c r="L1034" s="796"/>
      <c r="M1034" s="812"/>
      <c r="N1034" s="796"/>
      <c r="O1034" s="796"/>
    </row>
    <row r="1035" spans="3:15">
      <c r="C1035" s="788">
        <f>IF(D995="","-",+C1034+1)</f>
        <v>2051</v>
      </c>
      <c r="D1035" s="736">
        <f t="shared" si="60"/>
        <v>2558079.1253727898</v>
      </c>
      <c r="E1035" s="789">
        <f t="shared" si="65"/>
        <v>520287.27973684209</v>
      </c>
      <c r="F1035" s="736">
        <f t="shared" si="61"/>
        <v>2037791.8456359478</v>
      </c>
      <c r="G1035" s="794">
        <f t="shared" si="62"/>
        <v>780374.43074571318</v>
      </c>
      <c r="H1035" s="795">
        <f t="shared" si="63"/>
        <v>780374.43074571318</v>
      </c>
      <c r="I1035" s="792">
        <f t="shared" si="64"/>
        <v>0</v>
      </c>
      <c r="J1035" s="792"/>
      <c r="K1035" s="812"/>
      <c r="L1035" s="796"/>
      <c r="M1035" s="812"/>
      <c r="N1035" s="796"/>
      <c r="O1035" s="796"/>
    </row>
    <row r="1036" spans="3:15">
      <c r="C1036" s="788">
        <f>IF(D995="","-",+C1035+1)</f>
        <v>2052</v>
      </c>
      <c r="D1036" s="736">
        <f t="shared" si="60"/>
        <v>2037791.8456359478</v>
      </c>
      <c r="E1036" s="789">
        <f t="shared" si="65"/>
        <v>520287.27973684209</v>
      </c>
      <c r="F1036" s="736">
        <f t="shared" si="61"/>
        <v>1517504.5658991057</v>
      </c>
      <c r="G1036" s="794">
        <f t="shared" si="62"/>
        <v>721486.7739135155</v>
      </c>
      <c r="H1036" s="795">
        <f t="shared" si="63"/>
        <v>721486.7739135155</v>
      </c>
      <c r="I1036" s="792">
        <f t="shared" si="64"/>
        <v>0</v>
      </c>
      <c r="J1036" s="792"/>
      <c r="K1036" s="812"/>
      <c r="L1036" s="796"/>
      <c r="M1036" s="812"/>
      <c r="N1036" s="796"/>
      <c r="O1036" s="796"/>
    </row>
    <row r="1037" spans="3:15">
      <c r="C1037" s="788">
        <f>IF(D995="","-",+C1036+1)</f>
        <v>2053</v>
      </c>
      <c r="D1037" s="736">
        <f t="shared" si="60"/>
        <v>1517504.5658991057</v>
      </c>
      <c r="E1037" s="789">
        <f t="shared" si="65"/>
        <v>520287.27973684209</v>
      </c>
      <c r="F1037" s="736">
        <f t="shared" si="61"/>
        <v>997217.28616226371</v>
      </c>
      <c r="G1037" s="794">
        <f t="shared" si="62"/>
        <v>662599.11708131782</v>
      </c>
      <c r="H1037" s="795">
        <f t="shared" si="63"/>
        <v>662599.11708131782</v>
      </c>
      <c r="I1037" s="792">
        <f t="shared" si="64"/>
        <v>0</v>
      </c>
      <c r="J1037" s="792"/>
      <c r="K1037" s="812"/>
      <c r="L1037" s="796"/>
      <c r="M1037" s="812"/>
      <c r="N1037" s="796"/>
      <c r="O1037" s="796"/>
    </row>
    <row r="1038" spans="3:15">
      <c r="C1038" s="788">
        <f>IF(D995="","-",+C1037+1)</f>
        <v>2054</v>
      </c>
      <c r="D1038" s="736">
        <f t="shared" si="60"/>
        <v>997217.28616226371</v>
      </c>
      <c r="E1038" s="789">
        <f t="shared" si="65"/>
        <v>520287.27973684209</v>
      </c>
      <c r="F1038" s="736">
        <f t="shared" si="61"/>
        <v>476930.00642542163</v>
      </c>
      <c r="G1038" s="794">
        <f t="shared" si="62"/>
        <v>603711.46024912025</v>
      </c>
      <c r="H1038" s="795">
        <f t="shared" si="63"/>
        <v>603711.46024912025</v>
      </c>
      <c r="I1038" s="792">
        <f t="shared" si="64"/>
        <v>0</v>
      </c>
      <c r="J1038" s="792"/>
      <c r="K1038" s="812"/>
      <c r="L1038" s="796"/>
      <c r="M1038" s="812"/>
      <c r="N1038" s="796"/>
      <c r="O1038" s="796"/>
    </row>
    <row r="1039" spans="3:15">
      <c r="C1039" s="788">
        <f>IF(D995="","-",+C1038+1)</f>
        <v>2055</v>
      </c>
      <c r="D1039" s="736">
        <f t="shared" si="60"/>
        <v>476930.00642542163</v>
      </c>
      <c r="E1039" s="789">
        <f t="shared" si="65"/>
        <v>476930.00642542163</v>
      </c>
      <c r="F1039" s="736">
        <f t="shared" si="61"/>
        <v>0</v>
      </c>
      <c r="G1039" s="794">
        <f t="shared" si="62"/>
        <v>503920.18247351126</v>
      </c>
      <c r="H1039" s="795">
        <f t="shared" si="63"/>
        <v>503920.18247351126</v>
      </c>
      <c r="I1039" s="792">
        <f t="shared" si="64"/>
        <v>0</v>
      </c>
      <c r="J1039" s="792"/>
      <c r="K1039" s="812"/>
      <c r="L1039" s="796"/>
      <c r="M1039" s="812"/>
      <c r="N1039" s="796"/>
      <c r="O1039" s="796"/>
    </row>
    <row r="1040" spans="3:15">
      <c r="C1040" s="788">
        <f>IF(D995="","-",+C1039+1)</f>
        <v>2056</v>
      </c>
      <c r="D1040" s="736">
        <f t="shared" si="60"/>
        <v>0</v>
      </c>
      <c r="E1040" s="789">
        <f t="shared" si="65"/>
        <v>0</v>
      </c>
      <c r="F1040" s="736">
        <f t="shared" si="61"/>
        <v>0</v>
      </c>
      <c r="G1040" s="794">
        <f t="shared" si="62"/>
        <v>0</v>
      </c>
      <c r="H1040" s="795">
        <f t="shared" si="63"/>
        <v>0</v>
      </c>
      <c r="I1040" s="792">
        <f t="shared" si="64"/>
        <v>0</v>
      </c>
      <c r="J1040" s="792"/>
      <c r="K1040" s="812"/>
      <c r="L1040" s="796"/>
      <c r="M1040" s="812"/>
      <c r="N1040" s="796"/>
      <c r="O1040" s="796"/>
    </row>
    <row r="1041" spans="3:15">
      <c r="C1041" s="788">
        <f>IF(D995="","-",+C1040+1)</f>
        <v>2057</v>
      </c>
      <c r="D1041" s="736">
        <f t="shared" si="60"/>
        <v>0</v>
      </c>
      <c r="E1041" s="789">
        <f t="shared" si="65"/>
        <v>0</v>
      </c>
      <c r="F1041" s="736">
        <f t="shared" si="61"/>
        <v>0</v>
      </c>
      <c r="G1041" s="794">
        <f t="shared" si="62"/>
        <v>0</v>
      </c>
      <c r="H1041" s="795">
        <f t="shared" si="63"/>
        <v>0</v>
      </c>
      <c r="I1041" s="792">
        <f t="shared" si="64"/>
        <v>0</v>
      </c>
      <c r="J1041" s="792"/>
      <c r="K1041" s="812"/>
      <c r="L1041" s="796"/>
      <c r="M1041" s="812"/>
      <c r="N1041" s="796"/>
      <c r="O1041" s="796"/>
    </row>
    <row r="1042" spans="3:15">
      <c r="C1042" s="788">
        <f>IF(D995="","-",+C1041+1)</f>
        <v>2058</v>
      </c>
      <c r="D1042" s="736">
        <f t="shared" si="60"/>
        <v>0</v>
      </c>
      <c r="E1042" s="789">
        <f t="shared" si="65"/>
        <v>0</v>
      </c>
      <c r="F1042" s="736">
        <f t="shared" si="61"/>
        <v>0</v>
      </c>
      <c r="G1042" s="794">
        <f t="shared" si="62"/>
        <v>0</v>
      </c>
      <c r="H1042" s="795">
        <f t="shared" si="63"/>
        <v>0</v>
      </c>
      <c r="I1042" s="792">
        <f t="shared" si="64"/>
        <v>0</v>
      </c>
      <c r="J1042" s="792"/>
      <c r="K1042" s="812"/>
      <c r="L1042" s="796"/>
      <c r="M1042" s="812"/>
      <c r="N1042" s="796"/>
      <c r="O1042" s="796"/>
    </row>
    <row r="1043" spans="3:15">
      <c r="C1043" s="788">
        <f>IF(D995="","-",+C1042+1)</f>
        <v>2059</v>
      </c>
      <c r="D1043" s="736">
        <f t="shared" si="60"/>
        <v>0</v>
      </c>
      <c r="E1043" s="789">
        <f t="shared" si="65"/>
        <v>0</v>
      </c>
      <c r="F1043" s="736">
        <f t="shared" si="61"/>
        <v>0</v>
      </c>
      <c r="G1043" s="794">
        <f t="shared" si="62"/>
        <v>0</v>
      </c>
      <c r="H1043" s="795">
        <f t="shared" si="63"/>
        <v>0</v>
      </c>
      <c r="I1043" s="792">
        <f t="shared" si="64"/>
        <v>0</v>
      </c>
      <c r="J1043" s="792"/>
      <c r="K1043" s="812"/>
      <c r="L1043" s="796"/>
      <c r="M1043" s="812"/>
      <c r="N1043" s="796"/>
      <c r="O1043" s="796"/>
    </row>
    <row r="1044" spans="3:15">
      <c r="C1044" s="788">
        <f>IF(D995="","-",+C1043+1)</f>
        <v>2060</v>
      </c>
      <c r="D1044" s="736">
        <f t="shared" si="60"/>
        <v>0</v>
      </c>
      <c r="E1044" s="789">
        <f t="shared" si="65"/>
        <v>0</v>
      </c>
      <c r="F1044" s="736">
        <f t="shared" si="61"/>
        <v>0</v>
      </c>
      <c r="G1044" s="794">
        <f t="shared" si="62"/>
        <v>0</v>
      </c>
      <c r="H1044" s="795">
        <f t="shared" si="63"/>
        <v>0</v>
      </c>
      <c r="I1044" s="792">
        <f t="shared" si="64"/>
        <v>0</v>
      </c>
      <c r="J1044" s="792"/>
      <c r="K1044" s="812"/>
      <c r="L1044" s="796"/>
      <c r="M1044" s="812"/>
      <c r="N1044" s="796"/>
      <c r="O1044" s="796"/>
    </row>
    <row r="1045" spans="3:15">
      <c r="C1045" s="788">
        <f>IF(D995="","-",+C1044+1)</f>
        <v>2061</v>
      </c>
      <c r="D1045" s="736">
        <f t="shared" si="60"/>
        <v>0</v>
      </c>
      <c r="E1045" s="789">
        <f t="shared" si="65"/>
        <v>0</v>
      </c>
      <c r="F1045" s="736">
        <f t="shared" si="61"/>
        <v>0</v>
      </c>
      <c r="G1045" s="794">
        <f t="shared" si="62"/>
        <v>0</v>
      </c>
      <c r="H1045" s="795">
        <f t="shared" si="63"/>
        <v>0</v>
      </c>
      <c r="I1045" s="792">
        <f t="shared" si="64"/>
        <v>0</v>
      </c>
      <c r="J1045" s="792"/>
      <c r="K1045" s="812"/>
      <c r="L1045" s="796"/>
      <c r="M1045" s="812"/>
      <c r="N1045" s="796"/>
      <c r="O1045" s="796"/>
    </row>
    <row r="1046" spans="3:15">
      <c r="C1046" s="788">
        <f>IF(D995="","-",+C1045+1)</f>
        <v>2062</v>
      </c>
      <c r="D1046" s="736">
        <f t="shared" si="60"/>
        <v>0</v>
      </c>
      <c r="E1046" s="789">
        <f t="shared" si="65"/>
        <v>0</v>
      </c>
      <c r="F1046" s="736">
        <f t="shared" si="61"/>
        <v>0</v>
      </c>
      <c r="G1046" s="794">
        <f t="shared" si="62"/>
        <v>0</v>
      </c>
      <c r="H1046" s="795">
        <f t="shared" si="63"/>
        <v>0</v>
      </c>
      <c r="I1046" s="792">
        <f t="shared" si="64"/>
        <v>0</v>
      </c>
      <c r="J1046" s="792"/>
      <c r="K1046" s="812"/>
      <c r="L1046" s="796"/>
      <c r="M1046" s="812"/>
      <c r="N1046" s="796"/>
      <c r="O1046" s="796"/>
    </row>
    <row r="1047" spans="3:15">
      <c r="C1047" s="788">
        <f>IF(D995="","-",+C1046+1)</f>
        <v>2063</v>
      </c>
      <c r="D1047" s="736">
        <f t="shared" si="60"/>
        <v>0</v>
      </c>
      <c r="E1047" s="789">
        <f t="shared" si="65"/>
        <v>0</v>
      </c>
      <c r="F1047" s="736">
        <f t="shared" si="61"/>
        <v>0</v>
      </c>
      <c r="G1047" s="794">
        <f t="shared" si="62"/>
        <v>0</v>
      </c>
      <c r="H1047" s="795">
        <f t="shared" si="63"/>
        <v>0</v>
      </c>
      <c r="I1047" s="792">
        <f t="shared" si="64"/>
        <v>0</v>
      </c>
      <c r="J1047" s="792"/>
      <c r="K1047" s="812"/>
      <c r="L1047" s="796"/>
      <c r="M1047" s="812"/>
      <c r="N1047" s="796"/>
      <c r="O1047" s="796"/>
    </row>
    <row r="1048" spans="3:15">
      <c r="C1048" s="788">
        <f>IF(D995="","-",+C1047+1)</f>
        <v>2064</v>
      </c>
      <c r="D1048" s="736">
        <f t="shared" si="60"/>
        <v>0</v>
      </c>
      <c r="E1048" s="789">
        <f t="shared" si="65"/>
        <v>0</v>
      </c>
      <c r="F1048" s="736">
        <f t="shared" si="61"/>
        <v>0</v>
      </c>
      <c r="G1048" s="794">
        <f t="shared" si="62"/>
        <v>0</v>
      </c>
      <c r="H1048" s="795">
        <f t="shared" si="63"/>
        <v>0</v>
      </c>
      <c r="I1048" s="792">
        <f t="shared" si="64"/>
        <v>0</v>
      </c>
      <c r="J1048" s="792"/>
      <c r="K1048" s="812"/>
      <c r="L1048" s="796"/>
      <c r="M1048" s="812"/>
      <c r="N1048" s="796"/>
      <c r="O1048" s="796"/>
    </row>
    <row r="1049" spans="3:15">
      <c r="C1049" s="788">
        <f>IF(D995="","-",+C1048+1)</f>
        <v>2065</v>
      </c>
      <c r="D1049" s="736">
        <f t="shared" si="60"/>
        <v>0</v>
      </c>
      <c r="E1049" s="789">
        <f t="shared" si="65"/>
        <v>0</v>
      </c>
      <c r="F1049" s="736">
        <f t="shared" si="61"/>
        <v>0</v>
      </c>
      <c r="G1049" s="794">
        <f t="shared" si="62"/>
        <v>0</v>
      </c>
      <c r="H1049" s="795">
        <f t="shared" si="63"/>
        <v>0</v>
      </c>
      <c r="I1049" s="792">
        <f t="shared" si="64"/>
        <v>0</v>
      </c>
      <c r="J1049" s="792"/>
      <c r="K1049" s="812"/>
      <c r="L1049" s="796"/>
      <c r="M1049" s="812"/>
      <c r="N1049" s="796"/>
      <c r="O1049" s="796"/>
    </row>
    <row r="1050" spans="3:15">
      <c r="C1050" s="788">
        <f>IF(D995="","-",+C1049+1)</f>
        <v>2066</v>
      </c>
      <c r="D1050" s="736">
        <f t="shared" si="60"/>
        <v>0</v>
      </c>
      <c r="E1050" s="789">
        <f t="shared" si="65"/>
        <v>0</v>
      </c>
      <c r="F1050" s="736">
        <f t="shared" si="61"/>
        <v>0</v>
      </c>
      <c r="G1050" s="794">
        <f t="shared" si="62"/>
        <v>0</v>
      </c>
      <c r="H1050" s="795">
        <f t="shared" si="63"/>
        <v>0</v>
      </c>
      <c r="I1050" s="792">
        <f t="shared" si="64"/>
        <v>0</v>
      </c>
      <c r="J1050" s="792"/>
      <c r="K1050" s="812"/>
      <c r="L1050" s="796"/>
      <c r="M1050" s="812"/>
      <c r="N1050" s="796"/>
      <c r="O1050" s="796"/>
    </row>
    <row r="1051" spans="3:15">
      <c r="C1051" s="788">
        <f>IF(D995="","-",+C1050+1)</f>
        <v>2067</v>
      </c>
      <c r="D1051" s="736">
        <f t="shared" si="60"/>
        <v>0</v>
      </c>
      <c r="E1051" s="789">
        <f t="shared" si="65"/>
        <v>0</v>
      </c>
      <c r="F1051" s="736">
        <f t="shared" si="61"/>
        <v>0</v>
      </c>
      <c r="G1051" s="794">
        <f t="shared" si="62"/>
        <v>0</v>
      </c>
      <c r="H1051" s="795">
        <f t="shared" si="63"/>
        <v>0</v>
      </c>
      <c r="I1051" s="792">
        <f t="shared" si="64"/>
        <v>0</v>
      </c>
      <c r="J1051" s="792"/>
      <c r="K1051" s="812"/>
      <c r="L1051" s="796"/>
      <c r="M1051" s="812"/>
      <c r="N1051" s="796"/>
      <c r="O1051" s="796"/>
    </row>
    <row r="1052" spans="3:15">
      <c r="C1052" s="788">
        <f>IF(D995="","-",+C1051+1)</f>
        <v>2068</v>
      </c>
      <c r="D1052" s="736">
        <f t="shared" si="60"/>
        <v>0</v>
      </c>
      <c r="E1052" s="789">
        <f t="shared" si="65"/>
        <v>0</v>
      </c>
      <c r="F1052" s="736">
        <f t="shared" si="61"/>
        <v>0</v>
      </c>
      <c r="G1052" s="794">
        <f t="shared" si="62"/>
        <v>0</v>
      </c>
      <c r="H1052" s="795">
        <f t="shared" si="63"/>
        <v>0</v>
      </c>
      <c r="I1052" s="792">
        <f t="shared" si="64"/>
        <v>0</v>
      </c>
      <c r="J1052" s="792"/>
      <c r="K1052" s="812"/>
      <c r="L1052" s="796"/>
      <c r="M1052" s="812"/>
      <c r="N1052" s="796"/>
      <c r="O1052" s="796"/>
    </row>
    <row r="1053" spans="3:15">
      <c r="C1053" s="788">
        <f>IF(D995="","-",+C1052+1)</f>
        <v>2069</v>
      </c>
      <c r="D1053" s="736">
        <f t="shared" si="60"/>
        <v>0</v>
      </c>
      <c r="E1053" s="789">
        <f t="shared" si="65"/>
        <v>0</v>
      </c>
      <c r="F1053" s="736">
        <f t="shared" si="61"/>
        <v>0</v>
      </c>
      <c r="G1053" s="794">
        <f t="shared" si="62"/>
        <v>0</v>
      </c>
      <c r="H1053" s="795">
        <f t="shared" si="63"/>
        <v>0</v>
      </c>
      <c r="I1053" s="792">
        <f t="shared" si="64"/>
        <v>0</v>
      </c>
      <c r="J1053" s="792"/>
      <c r="K1053" s="812"/>
      <c r="L1053" s="796"/>
      <c r="M1053" s="812"/>
      <c r="N1053" s="796"/>
      <c r="O1053" s="796"/>
    </row>
    <row r="1054" spans="3:15">
      <c r="C1054" s="788">
        <f>IF(D995="","-",+C1053+1)</f>
        <v>2070</v>
      </c>
      <c r="D1054" s="736">
        <f t="shared" si="60"/>
        <v>0</v>
      </c>
      <c r="E1054" s="789">
        <f t="shared" si="65"/>
        <v>0</v>
      </c>
      <c r="F1054" s="736">
        <f t="shared" si="61"/>
        <v>0</v>
      </c>
      <c r="G1054" s="794">
        <f t="shared" si="62"/>
        <v>0</v>
      </c>
      <c r="H1054" s="795">
        <f t="shared" si="63"/>
        <v>0</v>
      </c>
      <c r="I1054" s="792">
        <f t="shared" si="64"/>
        <v>0</v>
      </c>
      <c r="J1054" s="792"/>
      <c r="K1054" s="812"/>
      <c r="L1054" s="796"/>
      <c r="M1054" s="812"/>
      <c r="N1054" s="796"/>
      <c r="O1054" s="796"/>
    </row>
    <row r="1055" spans="3:15">
      <c r="C1055" s="788">
        <f>IF(D995="","-",+C1054+1)</f>
        <v>2071</v>
      </c>
      <c r="D1055" s="736">
        <f t="shared" si="60"/>
        <v>0</v>
      </c>
      <c r="E1055" s="789">
        <f t="shared" si="65"/>
        <v>0</v>
      </c>
      <c r="F1055" s="736">
        <f t="shared" si="61"/>
        <v>0</v>
      </c>
      <c r="G1055" s="794">
        <f t="shared" si="62"/>
        <v>0</v>
      </c>
      <c r="H1055" s="795">
        <f t="shared" si="63"/>
        <v>0</v>
      </c>
      <c r="I1055" s="792">
        <f t="shared" si="64"/>
        <v>0</v>
      </c>
      <c r="J1055" s="792"/>
      <c r="K1055" s="812"/>
      <c r="L1055" s="796"/>
      <c r="M1055" s="812"/>
      <c r="N1055" s="796"/>
      <c r="O1055" s="796"/>
    </row>
    <row r="1056" spans="3:15">
      <c r="C1056" s="788">
        <f>IF(D995="","-",+C1055+1)</f>
        <v>2072</v>
      </c>
      <c r="D1056" s="736">
        <f t="shared" si="60"/>
        <v>0</v>
      </c>
      <c r="E1056" s="789">
        <f t="shared" si="65"/>
        <v>0</v>
      </c>
      <c r="F1056" s="736">
        <f t="shared" si="61"/>
        <v>0</v>
      </c>
      <c r="G1056" s="794">
        <f t="shared" si="62"/>
        <v>0</v>
      </c>
      <c r="H1056" s="795">
        <f t="shared" si="63"/>
        <v>0</v>
      </c>
      <c r="I1056" s="792">
        <f t="shared" si="64"/>
        <v>0</v>
      </c>
      <c r="J1056" s="792"/>
      <c r="K1056" s="812"/>
      <c r="L1056" s="796"/>
      <c r="M1056" s="812"/>
      <c r="N1056" s="796"/>
      <c r="O1056" s="796"/>
    </row>
    <row r="1057" spans="3:15">
      <c r="C1057" s="788">
        <f>IF(D995="","-",+C1056+1)</f>
        <v>2073</v>
      </c>
      <c r="D1057" s="736">
        <f t="shared" si="60"/>
        <v>0</v>
      </c>
      <c r="E1057" s="789">
        <f t="shared" si="65"/>
        <v>0</v>
      </c>
      <c r="F1057" s="736">
        <f t="shared" si="61"/>
        <v>0</v>
      </c>
      <c r="G1057" s="794">
        <f t="shared" si="62"/>
        <v>0</v>
      </c>
      <c r="H1057" s="795">
        <f t="shared" si="63"/>
        <v>0</v>
      </c>
      <c r="I1057" s="792">
        <f t="shared" si="64"/>
        <v>0</v>
      </c>
      <c r="J1057" s="792"/>
      <c r="K1057" s="812"/>
      <c r="L1057" s="796"/>
      <c r="M1057" s="812"/>
      <c r="N1057" s="796"/>
      <c r="O1057" s="796"/>
    </row>
    <row r="1058" spans="3:15">
      <c r="C1058" s="788">
        <f>IF(D995="","-",+C1057+1)</f>
        <v>2074</v>
      </c>
      <c r="D1058" s="736">
        <f t="shared" si="60"/>
        <v>0</v>
      </c>
      <c r="E1058" s="789">
        <f t="shared" si="65"/>
        <v>0</v>
      </c>
      <c r="F1058" s="736">
        <f t="shared" si="61"/>
        <v>0</v>
      </c>
      <c r="G1058" s="794">
        <f t="shared" si="62"/>
        <v>0</v>
      </c>
      <c r="H1058" s="795">
        <f t="shared" si="63"/>
        <v>0</v>
      </c>
      <c r="I1058" s="792">
        <f t="shared" si="64"/>
        <v>0</v>
      </c>
      <c r="J1058" s="792"/>
      <c r="K1058" s="812"/>
      <c r="L1058" s="796"/>
      <c r="M1058" s="812"/>
      <c r="N1058" s="796"/>
      <c r="O1058" s="796"/>
    </row>
    <row r="1059" spans="3:15">
      <c r="C1059" s="788">
        <f>IF(D995="","-",+C1058+1)</f>
        <v>2075</v>
      </c>
      <c r="D1059" s="736">
        <f t="shared" si="60"/>
        <v>0</v>
      </c>
      <c r="E1059" s="789">
        <f t="shared" si="65"/>
        <v>0</v>
      </c>
      <c r="F1059" s="736">
        <f t="shared" si="61"/>
        <v>0</v>
      </c>
      <c r="G1059" s="794">
        <f t="shared" si="62"/>
        <v>0</v>
      </c>
      <c r="H1059" s="795">
        <f t="shared" si="63"/>
        <v>0</v>
      </c>
      <c r="I1059" s="792">
        <f t="shared" si="64"/>
        <v>0</v>
      </c>
      <c r="J1059" s="792"/>
      <c r="K1059" s="812"/>
      <c r="L1059" s="796"/>
      <c r="M1059" s="812"/>
      <c r="N1059" s="796"/>
      <c r="O1059" s="796"/>
    </row>
    <row r="1060" spans="3:15" ht="13.5" thickBot="1">
      <c r="C1060" s="798">
        <f>IF(D995="","-",+C1059+1)</f>
        <v>2076</v>
      </c>
      <c r="D1060" s="799">
        <f t="shared" si="60"/>
        <v>0</v>
      </c>
      <c r="E1060" s="800">
        <f t="shared" si="65"/>
        <v>0</v>
      </c>
      <c r="F1060" s="799">
        <f t="shared" si="61"/>
        <v>0</v>
      </c>
      <c r="G1060" s="801">
        <f t="shared" si="62"/>
        <v>0</v>
      </c>
      <c r="H1060" s="801">
        <f t="shared" si="63"/>
        <v>0</v>
      </c>
      <c r="I1060" s="802">
        <f t="shared" si="64"/>
        <v>0</v>
      </c>
      <c r="J1060" s="792"/>
      <c r="K1060" s="813"/>
      <c r="L1060" s="803"/>
      <c r="M1060" s="813"/>
      <c r="N1060" s="803"/>
      <c r="O1060" s="803"/>
    </row>
    <row r="1061" spans="3:15">
      <c r="C1061" s="736" t="s">
        <v>83</v>
      </c>
      <c r="D1061" s="730"/>
      <c r="E1061" s="730">
        <f>SUM(E1001:E1060)</f>
        <v>19770916.629999999</v>
      </c>
      <c r="F1061" s="730"/>
      <c r="G1061" s="730">
        <f>SUM(G1001:G1060)</f>
        <v>64339058.242501527</v>
      </c>
      <c r="H1061" s="730">
        <f>SUM(H1001:H1060)</f>
        <v>64339058.242501527</v>
      </c>
      <c r="I1061" s="730">
        <f>SUM(I1001:I1060)</f>
        <v>0</v>
      </c>
      <c r="J1061" s="730"/>
      <c r="K1061" s="730"/>
      <c r="L1061" s="730"/>
      <c r="M1061" s="730"/>
      <c r="N1061" s="730"/>
      <c r="O1061" s="314"/>
    </row>
    <row r="1062" spans="3:15">
      <c r="D1062" s="538"/>
      <c r="E1062" s="314"/>
      <c r="F1062" s="314"/>
      <c r="G1062" s="314"/>
      <c r="H1062" s="708"/>
      <c r="I1062" s="708"/>
      <c r="J1062" s="730"/>
      <c r="K1062" s="708"/>
      <c r="L1062" s="708"/>
      <c r="M1062" s="708"/>
      <c r="N1062" s="708"/>
      <c r="O1062" s="314"/>
    </row>
    <row r="1063" spans="3:15">
      <c r="C1063" s="314" t="s">
        <v>13</v>
      </c>
      <c r="D1063" s="538"/>
      <c r="E1063" s="314"/>
      <c r="F1063" s="314"/>
      <c r="G1063" s="314"/>
      <c r="H1063" s="708"/>
      <c r="I1063" s="708"/>
      <c r="J1063" s="730"/>
      <c r="K1063" s="708"/>
      <c r="L1063" s="708"/>
      <c r="M1063" s="708"/>
      <c r="N1063" s="708"/>
      <c r="O1063" s="314"/>
    </row>
    <row r="1064" spans="3:15">
      <c r="C1064" s="314"/>
      <c r="D1064" s="538"/>
      <c r="E1064" s="314"/>
      <c r="F1064" s="314"/>
      <c r="G1064" s="314"/>
      <c r="H1064" s="708"/>
      <c r="I1064" s="708"/>
      <c r="J1064" s="730"/>
      <c r="K1064" s="708"/>
      <c r="L1064" s="708"/>
      <c r="M1064" s="708"/>
      <c r="N1064" s="708"/>
      <c r="O1064" s="314"/>
    </row>
    <row r="1065" spans="3:15">
      <c r="C1065" s="749" t="s">
        <v>14</v>
      </c>
      <c r="D1065" s="736"/>
      <c r="E1065" s="736"/>
      <c r="F1065" s="736"/>
      <c r="G1065" s="730"/>
      <c r="H1065" s="730"/>
      <c r="I1065" s="804"/>
      <c r="J1065" s="804"/>
      <c r="K1065" s="804"/>
      <c r="L1065" s="804"/>
      <c r="M1065" s="804"/>
      <c r="N1065" s="804"/>
      <c r="O1065" s="314"/>
    </row>
    <row r="1066" spans="3:15">
      <c r="C1066" s="735" t="s">
        <v>263</v>
      </c>
      <c r="D1066" s="736"/>
      <c r="E1066" s="736"/>
      <c r="F1066" s="736"/>
      <c r="G1066" s="730"/>
      <c r="H1066" s="730"/>
      <c r="I1066" s="804"/>
      <c r="J1066" s="804"/>
      <c r="K1066" s="804"/>
      <c r="L1066" s="804"/>
      <c r="M1066" s="804"/>
      <c r="N1066" s="804"/>
      <c r="O1066" s="314"/>
    </row>
    <row r="1067" spans="3:15">
      <c r="C1067" s="735" t="s">
        <v>84</v>
      </c>
      <c r="D1067" s="736"/>
      <c r="E1067" s="736"/>
      <c r="F1067" s="736"/>
      <c r="G1067" s="730"/>
      <c r="H1067" s="730"/>
      <c r="I1067" s="804"/>
      <c r="J1067" s="804"/>
      <c r="K1067" s="804"/>
      <c r="L1067" s="804"/>
      <c r="M1067" s="804"/>
      <c r="N1067" s="804"/>
      <c r="O1067" s="314"/>
    </row>
    <row r="1068" spans="3:15">
      <c r="C1068" s="735"/>
      <c r="D1068" s="736"/>
      <c r="E1068" s="736"/>
      <c r="F1068" s="736"/>
      <c r="G1068" s="730"/>
      <c r="H1068" s="730"/>
      <c r="I1068" s="804"/>
      <c r="J1068" s="804"/>
      <c r="K1068" s="804"/>
      <c r="L1068" s="804"/>
      <c r="M1068" s="804"/>
      <c r="N1068" s="804"/>
      <c r="O1068" s="314"/>
    </row>
    <row r="1069" spans="3:15">
      <c r="C1069" s="1526" t="s">
        <v>6</v>
      </c>
      <c r="D1069" s="1526"/>
      <c r="E1069" s="1526"/>
      <c r="F1069" s="1526"/>
      <c r="G1069" s="1526"/>
      <c r="H1069" s="1526"/>
      <c r="I1069" s="1526"/>
      <c r="J1069" s="1526"/>
      <c r="K1069" s="1526"/>
      <c r="L1069" s="1526"/>
      <c r="M1069" s="1526"/>
      <c r="N1069" s="1526"/>
      <c r="O1069" s="1526"/>
    </row>
    <row r="1070" spans="3:15">
      <c r="C1070" s="1526"/>
      <c r="D1070" s="1526"/>
      <c r="E1070" s="1526"/>
      <c r="F1070" s="1526"/>
      <c r="G1070" s="1526"/>
      <c r="H1070" s="1526"/>
      <c r="I1070" s="1526"/>
      <c r="J1070" s="1526"/>
      <c r="K1070" s="1526"/>
      <c r="L1070" s="1526"/>
      <c r="M1070" s="1526"/>
      <c r="N1070" s="1526"/>
      <c r="O1070" s="1526"/>
    </row>
  </sheetData>
  <mergeCells count="40">
    <mergeCell ref="D90:I90"/>
    <mergeCell ref="C169:O170"/>
    <mergeCell ref="K94:O94"/>
    <mergeCell ref="A3:O3"/>
    <mergeCell ref="C11:H12"/>
    <mergeCell ref="A4:O4"/>
    <mergeCell ref="A5:O5"/>
    <mergeCell ref="A6:O6"/>
    <mergeCell ref="I77:O80"/>
    <mergeCell ref="K22:O23"/>
    <mergeCell ref="D360:I361"/>
    <mergeCell ref="D180:I180"/>
    <mergeCell ref="K184:O184"/>
    <mergeCell ref="C259:O260"/>
    <mergeCell ref="D270:I270"/>
    <mergeCell ref="K274:O274"/>
    <mergeCell ref="C349:O350"/>
    <mergeCell ref="C709:O710"/>
    <mergeCell ref="K364:O364"/>
    <mergeCell ref="C439:O440"/>
    <mergeCell ref="D450:I450"/>
    <mergeCell ref="K454:O454"/>
    <mergeCell ref="C529:O530"/>
    <mergeCell ref="D540:I540"/>
    <mergeCell ref="K544:O544"/>
    <mergeCell ref="C619:O620"/>
    <mergeCell ref="D630:I630"/>
    <mergeCell ref="K634:O634"/>
    <mergeCell ref="C1069:O1070"/>
    <mergeCell ref="D720:I720"/>
    <mergeCell ref="K724:O724"/>
    <mergeCell ref="C799:O800"/>
    <mergeCell ref="D810:I810"/>
    <mergeCell ref="K814:O814"/>
    <mergeCell ref="C889:O890"/>
    <mergeCell ref="D900:I900"/>
    <mergeCell ref="K904:O904"/>
    <mergeCell ref="C979:O980"/>
    <mergeCell ref="D990:I990"/>
    <mergeCell ref="K994:O994"/>
  </mergeCells>
  <phoneticPr fontId="0" type="noConversion"/>
  <conditionalFormatting sqref="C101:C105 C108:C110 C113:C160">
    <cfRule type="cellIs" dxfId="107" priority="120" stopIfTrue="1" operator="equal">
      <formula>$I$92</formula>
    </cfRule>
  </conditionalFormatting>
  <conditionalFormatting sqref="C191:C195 C203:C250">
    <cfRule type="cellIs" dxfId="106" priority="109" stopIfTrue="1" operator="equal">
      <formula>$I$92</formula>
    </cfRule>
  </conditionalFormatting>
  <conditionalFormatting sqref="C281:C285 C293:C340">
    <cfRule type="cellIs" dxfId="105" priority="108" stopIfTrue="1" operator="equal">
      <formula>$I$92</formula>
    </cfRule>
  </conditionalFormatting>
  <conditionalFormatting sqref="C371:C374 C382:C430">
    <cfRule type="cellIs" dxfId="104" priority="107" stopIfTrue="1" operator="equal">
      <formula>$I$92</formula>
    </cfRule>
  </conditionalFormatting>
  <conditionalFormatting sqref="C461:C464 C470:C520">
    <cfRule type="cellIs" dxfId="103" priority="106" stopIfTrue="1" operator="equal">
      <formula>$I$92</formula>
    </cfRule>
  </conditionalFormatting>
  <conditionalFormatting sqref="C551:C554 C562:C610">
    <cfRule type="cellIs" dxfId="102" priority="105" stopIfTrue="1" operator="equal">
      <formula>$I$92</formula>
    </cfRule>
  </conditionalFormatting>
  <conditionalFormatting sqref="C641:C644 C652:C700">
    <cfRule type="cellIs" dxfId="101" priority="104" stopIfTrue="1" operator="equal">
      <formula>$I$92</formula>
    </cfRule>
  </conditionalFormatting>
  <conditionalFormatting sqref="C731:C734 C742:C790">
    <cfRule type="cellIs" dxfId="100" priority="103" stopIfTrue="1" operator="equal">
      <formula>$I$92</formula>
    </cfRule>
  </conditionalFormatting>
  <conditionalFormatting sqref="C821:C823 C833:C880 C825">
    <cfRule type="cellIs" dxfId="99" priority="102" stopIfTrue="1" operator="equal">
      <formula>$I$92</formula>
    </cfRule>
  </conditionalFormatting>
  <conditionalFormatting sqref="C911:C913 C921:C970">
    <cfRule type="cellIs" dxfId="98" priority="101" stopIfTrue="1" operator="equal">
      <formula>$I$92</formula>
    </cfRule>
  </conditionalFormatting>
  <conditionalFormatting sqref="C1001:C1003 C1008:C1060">
    <cfRule type="cellIs" dxfId="97" priority="100" stopIfTrue="1" operator="equal">
      <formula>$I$92</formula>
    </cfRule>
  </conditionalFormatting>
  <conditionalFormatting sqref="C914:C915">
    <cfRule type="cellIs" dxfId="96" priority="99" stopIfTrue="1" operator="equal">
      <formula>$I$92</formula>
    </cfRule>
  </conditionalFormatting>
  <conditionalFormatting sqref="C826">
    <cfRule type="cellIs" dxfId="95" priority="98" stopIfTrue="1" operator="equal">
      <formula>$I$92</formula>
    </cfRule>
  </conditionalFormatting>
  <conditionalFormatting sqref="C735">
    <cfRule type="cellIs" dxfId="94" priority="97" stopIfTrue="1" operator="equal">
      <formula>$I$92</formula>
    </cfRule>
  </conditionalFormatting>
  <conditionalFormatting sqref="C645">
    <cfRule type="cellIs" dxfId="93" priority="96" stopIfTrue="1" operator="equal">
      <formula>$I$92</formula>
    </cfRule>
  </conditionalFormatting>
  <conditionalFormatting sqref="C555">
    <cfRule type="cellIs" dxfId="92" priority="95" stopIfTrue="1" operator="equal">
      <formula>$I$92</formula>
    </cfRule>
  </conditionalFormatting>
  <conditionalFormatting sqref="C465">
    <cfRule type="cellIs" dxfId="91" priority="94" stopIfTrue="1" operator="equal">
      <formula>$I$92</formula>
    </cfRule>
  </conditionalFormatting>
  <conditionalFormatting sqref="C375">
    <cfRule type="cellIs" dxfId="90" priority="93" stopIfTrue="1" operator="equal">
      <formula>$I$92</formula>
    </cfRule>
  </conditionalFormatting>
  <conditionalFormatting sqref="C286">
    <cfRule type="cellIs" dxfId="89" priority="92" stopIfTrue="1" operator="equal">
      <formula>$I$92</formula>
    </cfRule>
  </conditionalFormatting>
  <conditionalFormatting sqref="C196">
    <cfRule type="cellIs" dxfId="88" priority="91" stopIfTrue="1" operator="equal">
      <formula>$I$92</formula>
    </cfRule>
  </conditionalFormatting>
  <conditionalFormatting sqref="C106:C110">
    <cfRule type="cellIs" dxfId="87" priority="90" stopIfTrue="1" operator="equal">
      <formula>$I$92</formula>
    </cfRule>
  </conditionalFormatting>
  <conditionalFormatting sqref="C197">
    <cfRule type="cellIs" dxfId="86" priority="88" stopIfTrue="1" operator="equal">
      <formula>$I$92</formula>
    </cfRule>
  </conditionalFormatting>
  <conditionalFormatting sqref="C287">
    <cfRule type="cellIs" dxfId="85" priority="86" stopIfTrue="1" operator="equal">
      <formula>$I$92</formula>
    </cfRule>
  </conditionalFormatting>
  <conditionalFormatting sqref="C376">
    <cfRule type="cellIs" dxfId="84" priority="84" stopIfTrue="1" operator="equal">
      <formula>$I$92</formula>
    </cfRule>
  </conditionalFormatting>
  <conditionalFormatting sqref="C466">
    <cfRule type="cellIs" dxfId="83" priority="82" stopIfTrue="1" operator="equal">
      <formula>$I$92</formula>
    </cfRule>
  </conditionalFormatting>
  <conditionalFormatting sqref="C556">
    <cfRule type="cellIs" dxfId="82" priority="80" stopIfTrue="1" operator="equal">
      <formula>$I$92</formula>
    </cfRule>
  </conditionalFormatting>
  <conditionalFormatting sqref="C646">
    <cfRule type="cellIs" dxfId="81" priority="78" stopIfTrue="1" operator="equal">
      <formula>$I$92</formula>
    </cfRule>
  </conditionalFormatting>
  <conditionalFormatting sqref="C736">
    <cfRule type="cellIs" dxfId="80" priority="76" stopIfTrue="1" operator="equal">
      <formula>$I$92</formula>
    </cfRule>
  </conditionalFormatting>
  <conditionalFormatting sqref="C827">
    <cfRule type="cellIs" dxfId="79" priority="74" stopIfTrue="1" operator="equal">
      <formula>$I$92</formula>
    </cfRule>
  </conditionalFormatting>
  <conditionalFormatting sqref="C1004">
    <cfRule type="cellIs" dxfId="78" priority="72" stopIfTrue="1" operator="equal">
      <formula>$I$92</formula>
    </cfRule>
  </conditionalFormatting>
  <conditionalFormatting sqref="C198">
    <cfRule type="cellIs" dxfId="77" priority="71" stopIfTrue="1" operator="equal">
      <formula>$I$92</formula>
    </cfRule>
  </conditionalFormatting>
  <conditionalFormatting sqref="C198">
    <cfRule type="cellIs" dxfId="76" priority="70" stopIfTrue="1" operator="equal">
      <formula>$I$92</formula>
    </cfRule>
  </conditionalFormatting>
  <conditionalFormatting sqref="C288">
    <cfRule type="cellIs" dxfId="75" priority="69" stopIfTrue="1" operator="equal">
      <formula>$I$92</formula>
    </cfRule>
  </conditionalFormatting>
  <conditionalFormatting sqref="C288">
    <cfRule type="cellIs" dxfId="74" priority="68" stopIfTrue="1" operator="equal">
      <formula>$I$92</formula>
    </cfRule>
  </conditionalFormatting>
  <conditionalFormatting sqref="C377">
    <cfRule type="cellIs" dxfId="73" priority="67" stopIfTrue="1" operator="equal">
      <formula>$I$92</formula>
    </cfRule>
  </conditionalFormatting>
  <conditionalFormatting sqref="C377">
    <cfRule type="cellIs" dxfId="72" priority="66" stopIfTrue="1" operator="equal">
      <formula>$I$92</formula>
    </cfRule>
  </conditionalFormatting>
  <conditionalFormatting sqref="C467">
    <cfRule type="cellIs" dxfId="71" priority="65" stopIfTrue="1" operator="equal">
      <formula>$I$92</formula>
    </cfRule>
  </conditionalFormatting>
  <conditionalFormatting sqref="C467">
    <cfRule type="cellIs" dxfId="70" priority="64" stopIfTrue="1" operator="equal">
      <formula>$I$92</formula>
    </cfRule>
  </conditionalFormatting>
  <conditionalFormatting sqref="C557">
    <cfRule type="cellIs" dxfId="69" priority="63" stopIfTrue="1" operator="equal">
      <formula>$I$92</formula>
    </cfRule>
  </conditionalFormatting>
  <conditionalFormatting sqref="C557">
    <cfRule type="cellIs" dxfId="68" priority="62" stopIfTrue="1" operator="equal">
      <formula>$I$92</formula>
    </cfRule>
  </conditionalFormatting>
  <conditionalFormatting sqref="C647">
    <cfRule type="cellIs" dxfId="67" priority="61" stopIfTrue="1" operator="equal">
      <formula>$I$92</formula>
    </cfRule>
  </conditionalFormatting>
  <conditionalFormatting sqref="C647">
    <cfRule type="cellIs" dxfId="66" priority="60" stopIfTrue="1" operator="equal">
      <formula>$I$92</formula>
    </cfRule>
  </conditionalFormatting>
  <conditionalFormatting sqref="C737">
    <cfRule type="cellIs" dxfId="65" priority="59" stopIfTrue="1" operator="equal">
      <formula>$I$92</formula>
    </cfRule>
  </conditionalFormatting>
  <conditionalFormatting sqref="C737">
    <cfRule type="cellIs" dxfId="64" priority="58" stopIfTrue="1" operator="equal">
      <formula>$I$92</formula>
    </cfRule>
  </conditionalFormatting>
  <conditionalFormatting sqref="C828">
    <cfRule type="cellIs" dxfId="63" priority="57" stopIfTrue="1" operator="equal">
      <formula>$I$92</formula>
    </cfRule>
  </conditionalFormatting>
  <conditionalFormatting sqref="C828">
    <cfRule type="cellIs" dxfId="62" priority="56" stopIfTrue="1" operator="equal">
      <formula>$I$92</formula>
    </cfRule>
  </conditionalFormatting>
  <conditionalFormatting sqref="C916">
    <cfRule type="cellIs" dxfId="61" priority="55" stopIfTrue="1" operator="equal">
      <formula>$I$92</formula>
    </cfRule>
  </conditionalFormatting>
  <conditionalFormatting sqref="C916">
    <cfRule type="cellIs" dxfId="60" priority="54" stopIfTrue="1" operator="equal">
      <formula>$I$92</formula>
    </cfRule>
  </conditionalFormatting>
  <conditionalFormatting sqref="C1005">
    <cfRule type="cellIs" dxfId="59" priority="53" stopIfTrue="1" operator="equal">
      <formula>$I$92</formula>
    </cfRule>
  </conditionalFormatting>
  <conditionalFormatting sqref="C1005">
    <cfRule type="cellIs" dxfId="58" priority="52" stopIfTrue="1" operator="equal">
      <formula>$I$92</formula>
    </cfRule>
  </conditionalFormatting>
  <conditionalFormatting sqref="C199:C200">
    <cfRule type="cellIs" dxfId="57" priority="51" stopIfTrue="1" operator="equal">
      <formula>$I$92</formula>
    </cfRule>
  </conditionalFormatting>
  <conditionalFormatting sqref="C199:C200">
    <cfRule type="cellIs" dxfId="56" priority="50" stopIfTrue="1" operator="equal">
      <formula>$I$92</formula>
    </cfRule>
  </conditionalFormatting>
  <conditionalFormatting sqref="C289:C290">
    <cfRule type="cellIs" dxfId="55" priority="49" stopIfTrue="1" operator="equal">
      <formula>$I$92</formula>
    </cfRule>
  </conditionalFormatting>
  <conditionalFormatting sqref="C289:C290">
    <cfRule type="cellIs" dxfId="54" priority="48" stopIfTrue="1" operator="equal">
      <formula>$I$92</formula>
    </cfRule>
  </conditionalFormatting>
  <conditionalFormatting sqref="C378:C379">
    <cfRule type="cellIs" dxfId="53" priority="47" stopIfTrue="1" operator="equal">
      <formula>$I$92</formula>
    </cfRule>
  </conditionalFormatting>
  <conditionalFormatting sqref="C378:C379">
    <cfRule type="cellIs" dxfId="52" priority="46" stopIfTrue="1" operator="equal">
      <formula>$I$92</formula>
    </cfRule>
  </conditionalFormatting>
  <conditionalFormatting sqref="C468:C470">
    <cfRule type="cellIs" dxfId="51" priority="45" stopIfTrue="1" operator="equal">
      <formula>$I$92</formula>
    </cfRule>
  </conditionalFormatting>
  <conditionalFormatting sqref="C468:C470">
    <cfRule type="cellIs" dxfId="50" priority="44" stopIfTrue="1" operator="equal">
      <formula>$I$92</formula>
    </cfRule>
  </conditionalFormatting>
  <conditionalFormatting sqref="C558:C559">
    <cfRule type="cellIs" dxfId="49" priority="43" stopIfTrue="1" operator="equal">
      <formula>$I$92</formula>
    </cfRule>
  </conditionalFormatting>
  <conditionalFormatting sqref="C558:C559">
    <cfRule type="cellIs" dxfId="48" priority="42" stopIfTrue="1" operator="equal">
      <formula>$I$92</formula>
    </cfRule>
  </conditionalFormatting>
  <conditionalFormatting sqref="C648:C649">
    <cfRule type="cellIs" dxfId="47" priority="41" stopIfTrue="1" operator="equal">
      <formula>$I$92</formula>
    </cfRule>
  </conditionalFormatting>
  <conditionalFormatting sqref="C648:C649">
    <cfRule type="cellIs" dxfId="46" priority="40" stopIfTrue="1" operator="equal">
      <formula>$I$92</formula>
    </cfRule>
  </conditionalFormatting>
  <conditionalFormatting sqref="C738:C739">
    <cfRule type="cellIs" dxfId="45" priority="39" stopIfTrue="1" operator="equal">
      <formula>$I$92</formula>
    </cfRule>
  </conditionalFormatting>
  <conditionalFormatting sqref="C738:C739">
    <cfRule type="cellIs" dxfId="44" priority="38" stopIfTrue="1" operator="equal">
      <formula>$I$92</formula>
    </cfRule>
  </conditionalFormatting>
  <conditionalFormatting sqref="C829:C830">
    <cfRule type="cellIs" dxfId="43" priority="37" stopIfTrue="1" operator="equal">
      <formula>$I$92</formula>
    </cfRule>
  </conditionalFormatting>
  <conditionalFormatting sqref="C829:C830">
    <cfRule type="cellIs" dxfId="42" priority="36" stopIfTrue="1" operator="equal">
      <formula>$I$92</formula>
    </cfRule>
  </conditionalFormatting>
  <conditionalFormatting sqref="C917:C918">
    <cfRule type="cellIs" dxfId="41" priority="35" stopIfTrue="1" operator="equal">
      <formula>$I$92</formula>
    </cfRule>
  </conditionalFormatting>
  <conditionalFormatting sqref="C917:C918">
    <cfRule type="cellIs" dxfId="40" priority="34" stopIfTrue="1" operator="equal">
      <formula>$I$92</formula>
    </cfRule>
  </conditionalFormatting>
  <conditionalFormatting sqref="C1006:C1008">
    <cfRule type="cellIs" dxfId="39" priority="33" stopIfTrue="1" operator="equal">
      <formula>$I$92</formula>
    </cfRule>
  </conditionalFormatting>
  <conditionalFormatting sqref="C1006:C1008">
    <cfRule type="cellIs" dxfId="38" priority="32" stopIfTrue="1" operator="equal">
      <formula>$I$92</formula>
    </cfRule>
  </conditionalFormatting>
  <conditionalFormatting sqref="C824">
    <cfRule type="cellIs" dxfId="37" priority="29" stopIfTrue="1" operator="equal">
      <formula>$I$92</formula>
    </cfRule>
  </conditionalFormatting>
  <conditionalFormatting sqref="C824">
    <cfRule type="cellIs" dxfId="36" priority="28" stopIfTrue="1" operator="equal">
      <formula>$I$92</formula>
    </cfRule>
  </conditionalFormatting>
  <conditionalFormatting sqref="C919:C920">
    <cfRule type="cellIs" dxfId="35" priority="27" stopIfTrue="1" operator="equal">
      <formula>$I$92</formula>
    </cfRule>
  </conditionalFormatting>
  <conditionalFormatting sqref="C919">
    <cfRule type="cellIs" dxfId="34" priority="26" stopIfTrue="1" operator="equal">
      <formula>$I$92</formula>
    </cfRule>
  </conditionalFormatting>
  <conditionalFormatting sqref="C919">
    <cfRule type="cellIs" dxfId="33" priority="25" stopIfTrue="1" operator="equal">
      <formula>$I$92</formula>
    </cfRule>
  </conditionalFormatting>
  <conditionalFormatting sqref="C831:C832">
    <cfRule type="cellIs" dxfId="32" priority="24" stopIfTrue="1" operator="equal">
      <formula>$I$92</formula>
    </cfRule>
  </conditionalFormatting>
  <conditionalFormatting sqref="C831">
    <cfRule type="cellIs" dxfId="31" priority="23" stopIfTrue="1" operator="equal">
      <formula>$I$92</formula>
    </cfRule>
  </conditionalFormatting>
  <conditionalFormatting sqref="C831">
    <cfRule type="cellIs" dxfId="30" priority="22" stopIfTrue="1" operator="equal">
      <formula>$I$92</formula>
    </cfRule>
  </conditionalFormatting>
  <conditionalFormatting sqref="C740:C741">
    <cfRule type="cellIs" dxfId="29" priority="21" stopIfTrue="1" operator="equal">
      <formula>$I$92</formula>
    </cfRule>
  </conditionalFormatting>
  <conditionalFormatting sqref="C740">
    <cfRule type="cellIs" dxfId="28" priority="20" stopIfTrue="1" operator="equal">
      <formula>$I$92</formula>
    </cfRule>
  </conditionalFormatting>
  <conditionalFormatting sqref="C740">
    <cfRule type="cellIs" dxfId="27" priority="19" stopIfTrue="1" operator="equal">
      <formula>$I$92</formula>
    </cfRule>
  </conditionalFormatting>
  <conditionalFormatting sqref="C650:C651">
    <cfRule type="cellIs" dxfId="26" priority="18" stopIfTrue="1" operator="equal">
      <formula>$I$92</formula>
    </cfRule>
  </conditionalFormatting>
  <conditionalFormatting sqref="C650">
    <cfRule type="cellIs" dxfId="25" priority="17" stopIfTrue="1" operator="equal">
      <formula>$I$92</formula>
    </cfRule>
  </conditionalFormatting>
  <conditionalFormatting sqref="C650">
    <cfRule type="cellIs" dxfId="24" priority="16" stopIfTrue="1" operator="equal">
      <formula>$I$92</formula>
    </cfRule>
  </conditionalFormatting>
  <conditionalFormatting sqref="C560:C561">
    <cfRule type="cellIs" dxfId="23" priority="15" stopIfTrue="1" operator="equal">
      <formula>$I$92</formula>
    </cfRule>
  </conditionalFormatting>
  <conditionalFormatting sqref="C560">
    <cfRule type="cellIs" dxfId="22" priority="14" stopIfTrue="1" operator="equal">
      <formula>$I$92</formula>
    </cfRule>
  </conditionalFormatting>
  <conditionalFormatting sqref="C560">
    <cfRule type="cellIs" dxfId="21" priority="13" stopIfTrue="1" operator="equal">
      <formula>$I$92</formula>
    </cfRule>
  </conditionalFormatting>
  <conditionalFormatting sqref="C380:C381">
    <cfRule type="cellIs" dxfId="20" priority="12" stopIfTrue="1" operator="equal">
      <formula>$I$92</formula>
    </cfRule>
  </conditionalFormatting>
  <conditionalFormatting sqref="C380">
    <cfRule type="cellIs" dxfId="19" priority="11" stopIfTrue="1" operator="equal">
      <formula>$I$92</formula>
    </cfRule>
  </conditionalFormatting>
  <conditionalFormatting sqref="C380">
    <cfRule type="cellIs" dxfId="18" priority="10" stopIfTrue="1" operator="equal">
      <formula>$I$92</formula>
    </cfRule>
  </conditionalFormatting>
  <conditionalFormatting sqref="C291:C292">
    <cfRule type="cellIs" dxfId="17" priority="9" stopIfTrue="1" operator="equal">
      <formula>$I$92</formula>
    </cfRule>
  </conditionalFormatting>
  <conditionalFormatting sqref="C291">
    <cfRule type="cellIs" dxfId="16" priority="8" stopIfTrue="1" operator="equal">
      <formula>$I$92</formula>
    </cfRule>
  </conditionalFormatting>
  <conditionalFormatting sqref="C291">
    <cfRule type="cellIs" dxfId="15" priority="7" stopIfTrue="1" operator="equal">
      <formula>$I$92</formula>
    </cfRule>
  </conditionalFormatting>
  <conditionalFormatting sqref="C201:C202">
    <cfRule type="cellIs" dxfId="14" priority="6" stopIfTrue="1" operator="equal">
      <formula>$I$92</formula>
    </cfRule>
  </conditionalFormatting>
  <conditionalFormatting sqref="C201">
    <cfRule type="cellIs" dxfId="13" priority="5" stopIfTrue="1" operator="equal">
      <formula>$I$92</formula>
    </cfRule>
  </conditionalFormatting>
  <conditionalFormatting sqref="C201">
    <cfRule type="cellIs" dxfId="12" priority="4" stopIfTrue="1" operator="equal">
      <formula>$I$92</formula>
    </cfRule>
  </conditionalFormatting>
  <conditionalFormatting sqref="C111:C112">
    <cfRule type="cellIs" dxfId="11" priority="3" stopIfTrue="1" operator="equal">
      <formula>$I$92</formula>
    </cfRule>
  </conditionalFormatting>
  <conditionalFormatting sqref="C111">
    <cfRule type="cellIs" dxfId="10" priority="2" stopIfTrue="1" operator="equal">
      <formula>$I$92</formula>
    </cfRule>
  </conditionalFormatting>
  <conditionalFormatting sqref="C111">
    <cfRule type="cellIs" dxfId="9"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1" max="14" man="1"/>
    <brk id="351" max="14" man="1"/>
    <brk id="441" max="14" man="1"/>
    <brk id="531" max="14" man="1"/>
    <brk id="621" max="14" man="1"/>
    <brk id="711" max="14" man="1"/>
    <brk id="801" max="14" man="1"/>
    <brk id="891" max="14" man="1"/>
    <brk id="981"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heetViews>
  <sheetFormatPr defaultColWidth="8.85546875" defaultRowHeight="12.75"/>
  <cols>
    <col min="1" max="1" width="4.7109375" style="173" customWidth="1"/>
    <col min="2" max="2" width="6.7109375" style="393" customWidth="1"/>
    <col min="3" max="3" width="20.7109375" style="173" customWidth="1"/>
    <col min="4" max="4" width="22" style="273" customWidth="1"/>
    <col min="5" max="5" width="19.28515625" style="173" customWidth="1"/>
    <col min="6" max="8" width="17.7109375" style="173" customWidth="1"/>
    <col min="9" max="9" width="17.7109375" style="488"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633</v>
      </c>
    </row>
    <row r="2" spans="1:17" ht="15.75">
      <c r="A2" s="1006" t="s">
        <v>634</v>
      </c>
    </row>
    <row r="3" spans="1:17"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1474" t="str">
        <f>TCOS!$F$5</f>
        <v>AEPTCo subsidiaries in PJM</v>
      </c>
      <c r="K3" s="1474" t="str">
        <f>TCOS!$F$5</f>
        <v>AEPTCo subsidiaries in PJM</v>
      </c>
      <c r="L3" s="1474" t="str">
        <f>TCOS!$F$5</f>
        <v>AEPTCo subsidiaries in PJM</v>
      </c>
      <c r="M3" s="1474" t="str">
        <f>TCOS!$F$5</f>
        <v>AEPTCo subsidiaries in PJM</v>
      </c>
      <c r="N3" s="1474" t="str">
        <f>TCOS!$F$5</f>
        <v>AEPTCo subsidiaries in PJM</v>
      </c>
      <c r="O3" s="1474" t="str">
        <f>TCOS!$F$5</f>
        <v>AEPTCo subsidiaries in PJM</v>
      </c>
      <c r="P3" s="1474" t="str">
        <f>TCOS!$F$5</f>
        <v>AEPTCo subsidiaries in PJM</v>
      </c>
      <c r="Q3" s="156"/>
    </row>
    <row r="4" spans="1:17" ht="15">
      <c r="A4" s="1502" t="str">
        <f>"Cost of Service Formula Rate Using Actual/Projected FF1 Balances"</f>
        <v>Cost of Service Formula Rate Using Actual/Projected FF1 Balances</v>
      </c>
      <c r="B4" s="1502"/>
      <c r="C4" s="1502"/>
      <c r="D4" s="1502"/>
      <c r="E4" s="1502"/>
      <c r="F4" s="1502"/>
      <c r="G4" s="1502"/>
      <c r="H4" s="1502"/>
      <c r="I4" s="1502"/>
      <c r="J4" s="1502"/>
      <c r="K4" s="1502"/>
      <c r="L4" s="1502"/>
      <c r="M4" s="1502"/>
      <c r="N4" s="1502"/>
      <c r="O4" s="1502"/>
      <c r="P4" s="1502"/>
      <c r="Q4" s="156"/>
    </row>
    <row r="5" spans="1:17" ht="15">
      <c r="A5" s="1502" t="s">
        <v>257</v>
      </c>
      <c r="B5" s="1502"/>
      <c r="C5" s="1502"/>
      <c r="D5" s="1502"/>
      <c r="E5" s="1502"/>
      <c r="F5" s="1502"/>
      <c r="G5" s="1502"/>
      <c r="H5" s="1502"/>
      <c r="I5" s="1502"/>
      <c r="J5" s="1502"/>
      <c r="K5" s="1502"/>
      <c r="L5" s="1502"/>
      <c r="M5" s="1502"/>
      <c r="N5" s="1502"/>
      <c r="O5" s="1502"/>
      <c r="P5" s="1502"/>
      <c r="Q5" s="156"/>
    </row>
    <row r="6" spans="1:17" ht="15">
      <c r="A6" s="1503" t="str">
        <f>TCOS!F9</f>
        <v>West Virginia Transmission Company</v>
      </c>
      <c r="B6" s="1503"/>
      <c r="C6" s="1503"/>
      <c r="D6" s="1503"/>
      <c r="E6" s="1503"/>
      <c r="F6" s="1503"/>
      <c r="G6" s="1503"/>
      <c r="H6" s="1503"/>
      <c r="I6" s="1503"/>
      <c r="J6" s="1503"/>
      <c r="K6" s="1503"/>
      <c r="L6" s="1503"/>
      <c r="M6" s="1503"/>
      <c r="N6" s="1503"/>
      <c r="O6" s="1503"/>
      <c r="P6" s="1503"/>
      <c r="Q6" s="156"/>
    </row>
    <row r="7" spans="1:17">
      <c r="Q7" s="156"/>
    </row>
    <row r="8" spans="1:17" ht="20.25">
      <c r="A8" s="652"/>
      <c r="C8" s="393"/>
      <c r="O8" s="653" t="str">
        <f>"Page "&amp;Q8&amp;" of "</f>
        <v xml:space="preserve">Page 1 of </v>
      </c>
      <c r="P8" s="654">
        <f>COUNT(Q$8:Q$57702)</f>
        <v>2</v>
      </c>
      <c r="Q8" s="655">
        <v>1</v>
      </c>
    </row>
    <row r="9" spans="1:17" ht="18">
      <c r="C9" s="656"/>
      <c r="Q9" s="156"/>
    </row>
    <row r="10" spans="1:17">
      <c r="Q10" s="156"/>
    </row>
    <row r="11" spans="1:17" ht="18">
      <c r="B11" s="657" t="s">
        <v>461</v>
      </c>
      <c r="C11" s="1529" t="str">
        <f>"Calculate Return and Income Taxes with "&amp;F17&amp;" basis point ROE increase for Projects Qualified for Regional Billing."</f>
        <v>Calculate Return and Income Taxes with 0 basis point ROE increase for Projects Qualified for Regional Billing.</v>
      </c>
      <c r="D11" s="1530"/>
      <c r="E11" s="1530"/>
      <c r="F11" s="1530"/>
      <c r="G11" s="1530"/>
      <c r="H11" s="1530"/>
      <c r="I11" s="1530"/>
      <c r="Q11" s="156"/>
    </row>
    <row r="12" spans="1:17" ht="18.75" customHeight="1">
      <c r="C12" s="1530"/>
      <c r="D12" s="1530"/>
      <c r="E12" s="1530"/>
      <c r="F12" s="1530"/>
      <c r="G12" s="1530"/>
      <c r="H12" s="1530"/>
      <c r="I12" s="1530"/>
      <c r="Q12" s="156"/>
    </row>
    <row r="13" spans="1:17" ht="15.75" customHeight="1">
      <c r="C13" s="658"/>
      <c r="D13" s="658"/>
      <c r="E13" s="658"/>
      <c r="F13" s="658"/>
      <c r="G13" s="658"/>
      <c r="H13" s="658"/>
      <c r="I13" s="658"/>
      <c r="Q13" s="156"/>
    </row>
    <row r="14" spans="1:17" ht="15.75">
      <c r="C14" s="659"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0" t="str">
        <f>"   ROE w/o incentives  (TCOS, ln "&amp;TCOS!B235&amp;")"</f>
        <v xml:space="preserve">   ROE w/o incentives  (TCOS, ln 138)</v>
      </c>
      <c r="D16" s="220"/>
      <c r="E16" s="661"/>
      <c r="F16" s="814">
        <f>TCOS!J235</f>
        <v>0.10349999999999999</v>
      </c>
      <c r="G16" s="814"/>
      <c r="H16" s="661"/>
      <c r="I16" s="663"/>
      <c r="J16" s="663"/>
      <c r="K16" s="664"/>
      <c r="L16" s="663"/>
      <c r="M16" s="663"/>
      <c r="N16" s="663"/>
      <c r="O16" s="663"/>
      <c r="P16" s="663"/>
      <c r="Q16" s="664"/>
    </row>
    <row r="17" spans="3:17" ht="13.5" thickBot="1">
      <c r="C17" s="660" t="s">
        <v>43</v>
      </c>
      <c r="D17" s="220"/>
      <c r="E17" s="661"/>
      <c r="F17" s="805">
        <v>0</v>
      </c>
      <c r="G17" s="661"/>
      <c r="H17" s="661"/>
      <c r="I17" s="663"/>
      <c r="J17" s="663"/>
      <c r="K17" s="664"/>
      <c r="L17" s="663"/>
      <c r="M17" s="663"/>
      <c r="N17" s="663"/>
      <c r="O17" s="663"/>
      <c r="P17" s="663"/>
    </row>
    <row r="18" spans="3:17">
      <c r="C18" s="660" t="str">
        <f>"   ROE with additional "&amp;F17&amp;" basis point incentive"</f>
        <v xml:space="preserve">   ROE with additional 0 basis point incentive</v>
      </c>
      <c r="D18" s="661"/>
      <c r="E18" s="661"/>
      <c r="F18" s="666">
        <f>IF((F16+(F17/10000)&gt;0.125),"ERROR",F16+(F17/10000))</f>
        <v>0.10349999999999999</v>
      </c>
      <c r="G18" s="667"/>
      <c r="H18" s="661"/>
      <c r="I18" s="663"/>
      <c r="J18" s="663"/>
      <c r="K18" s="664"/>
      <c r="L18" s="815" t="s">
        <v>234</v>
      </c>
      <c r="M18" s="816"/>
      <c r="N18" s="816"/>
      <c r="O18" s="816"/>
      <c r="P18" s="817"/>
    </row>
    <row r="19" spans="3:17">
      <c r="C19" s="660"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1"/>
      <c r="F19" s="668"/>
      <c r="G19" s="668"/>
      <c r="H19" s="661"/>
      <c r="I19" s="663"/>
      <c r="J19" s="663"/>
      <c r="K19" s="664"/>
      <c r="L19" s="818"/>
      <c r="M19" s="664"/>
      <c r="N19" s="664" t="s">
        <v>45</v>
      </c>
      <c r="O19" s="664" t="s">
        <v>46</v>
      </c>
      <c r="P19" s="819" t="s">
        <v>47</v>
      </c>
    </row>
    <row r="20" spans="3:17">
      <c r="C20" s="664"/>
      <c r="D20" s="669" t="s">
        <v>436</v>
      </c>
      <c r="E20" s="669" t="s">
        <v>435</v>
      </c>
      <c r="F20" s="670" t="s">
        <v>44</v>
      </c>
      <c r="G20" s="670"/>
      <c r="H20" s="661"/>
      <c r="I20" s="663"/>
      <c r="J20" s="663"/>
      <c r="K20" s="664"/>
      <c r="L20" s="818" t="s">
        <v>232</v>
      </c>
      <c r="M20" s="820" t="str">
        <f>+TCOS!O3</f>
        <v xml:space="preserve"> </v>
      </c>
      <c r="N20" s="427"/>
      <c r="O20" s="427"/>
      <c r="P20" s="821"/>
    </row>
    <row r="21" spans="3:17">
      <c r="C21" s="671" t="s">
        <v>48</v>
      </c>
      <c r="D21" s="822">
        <f>TCOS!H233</f>
        <v>0.44727811942692608</v>
      </c>
      <c r="E21" s="673">
        <f>TCOS!J233</f>
        <v>4.0442957936623808E-2</v>
      </c>
      <c r="F21" s="674">
        <f>E21*D21</f>
        <v>1.808925016995537E-2</v>
      </c>
      <c r="G21" s="674"/>
      <c r="H21" s="661"/>
      <c r="I21" s="663"/>
      <c r="J21" s="675"/>
      <c r="K21" s="676"/>
      <c r="L21" s="823"/>
      <c r="M21" s="765" t="s">
        <v>233</v>
      </c>
      <c r="N21" s="960" t="e">
        <f>+M88+#REF!+#REF!+#REF!+#REF!+#REF!+#REF!+#REF!</f>
        <v>#N/A</v>
      </c>
      <c r="O21" s="960" t="e">
        <f>+N88+#REF!+#REF!+#REF!+#REF!+#REF!+#REF!+#REF!</f>
        <v>#N/A</v>
      </c>
      <c r="P21" s="824" t="e">
        <f>+O21-N21</f>
        <v>#N/A</v>
      </c>
    </row>
    <row r="22" spans="3:17" ht="13.5" thickBot="1">
      <c r="C22" s="671" t="s">
        <v>49</v>
      </c>
      <c r="D22" s="822">
        <f>TCOS!H234</f>
        <v>0</v>
      </c>
      <c r="E22" s="673">
        <f>TCOS!J234</f>
        <v>0</v>
      </c>
      <c r="F22" s="674">
        <f>E22*D22</f>
        <v>0</v>
      </c>
      <c r="G22" s="674"/>
      <c r="H22" s="677"/>
      <c r="I22" s="677"/>
      <c r="J22" s="678"/>
      <c r="K22" s="679"/>
      <c r="L22" s="823"/>
      <c r="M22" s="765" t="s">
        <v>618</v>
      </c>
      <c r="N22" s="961" t="e">
        <f>M89+#REF!+#REF!+#REF!+#REF!+#REF!+#REF!+#REF!+#REF!</f>
        <v>#N/A</v>
      </c>
      <c r="O22" s="961" t="e">
        <f>N89+#REF!+#REF!+#REF!+#REF!+#REF!+#REF!+#REF!+#REF!</f>
        <v>#N/A</v>
      </c>
      <c r="P22" s="825" t="e">
        <f>+O22-N22</f>
        <v>#N/A</v>
      </c>
      <c r="Q22" s="679"/>
    </row>
    <row r="23" spans="3:17">
      <c r="C23" s="680" t="s">
        <v>29</v>
      </c>
      <c r="D23" s="822">
        <f>TCOS!H235</f>
        <v>0.55272188057307403</v>
      </c>
      <c r="E23" s="673">
        <f>+F18</f>
        <v>0.10349999999999999</v>
      </c>
      <c r="F23" s="681">
        <f>E23*D23</f>
        <v>5.7206714639313157E-2</v>
      </c>
      <c r="G23" s="681"/>
      <c r="H23" s="677"/>
      <c r="I23" s="677"/>
      <c r="J23" s="678"/>
      <c r="K23" s="679"/>
      <c r="L23" s="823"/>
      <c r="M23" s="765" t="str">
        <f>"True-up of ARR For "&amp;TCOS!L4&amp;""</f>
        <v>True-up of ARR For 2025</v>
      </c>
      <c r="N23" s="736" t="e">
        <f>+N22-N21</f>
        <v>#N/A</v>
      </c>
      <c r="O23" s="736" t="e">
        <f>+O22-O21</f>
        <v>#N/A</v>
      </c>
      <c r="P23" s="826" t="e">
        <f>+P22-P21</f>
        <v>#N/A</v>
      </c>
      <c r="Q23" s="679"/>
    </row>
    <row r="24" spans="3:17">
      <c r="C24" s="660"/>
      <c r="D24" s="173"/>
      <c r="E24" s="682" t="s">
        <v>50</v>
      </c>
      <c r="F24" s="674">
        <f>SUM(F21:F23)</f>
        <v>7.5295964809268534E-2</v>
      </c>
      <c r="G24" s="674"/>
      <c r="H24" s="677"/>
      <c r="I24" s="677"/>
      <c r="J24" s="678"/>
      <c r="K24" s="679"/>
      <c r="L24" s="823"/>
      <c r="M24" s="427"/>
      <c r="N24" s="427"/>
      <c r="O24" s="427"/>
      <c r="P24" s="821"/>
      <c r="Q24" s="679"/>
    </row>
    <row r="25" spans="3:17" ht="13.5" thickBot="1">
      <c r="C25" s="209"/>
      <c r="D25" s="687"/>
      <c r="E25" s="687"/>
      <c r="F25" s="677"/>
      <c r="G25" s="677"/>
      <c r="H25" s="677"/>
      <c r="I25" s="677"/>
      <c r="J25" s="677"/>
      <c r="K25" s="688"/>
      <c r="L25" s="827"/>
      <c r="M25" s="828"/>
      <c r="N25" s="829"/>
      <c r="O25" s="829"/>
      <c r="P25" s="825"/>
      <c r="Q25" s="688"/>
    </row>
    <row r="26" spans="3:17" ht="15.75">
      <c r="C26" s="659" t="str">
        <f>"B.   Determine Return using 'R' with hypothetical "&amp;F17&amp;" basis point ROE increase for Identified Projects."</f>
        <v>B.   Determine Return using 'R' with hypothetical 0 basis point ROE increase for Identified Projects.</v>
      </c>
      <c r="D26" s="687"/>
      <c r="E26" s="687"/>
      <c r="F26" s="692"/>
      <c r="G26" s="692"/>
      <c r="H26" s="677"/>
      <c r="I26" s="661"/>
      <c r="J26" s="677"/>
      <c r="K26" s="688"/>
      <c r="L26" s="677"/>
      <c r="M26" s="677"/>
      <c r="N26" s="677"/>
      <c r="O26" s="677"/>
      <c r="P26" s="677"/>
      <c r="Q26" s="688"/>
    </row>
    <row r="27" spans="3:17">
      <c r="C27" s="664"/>
      <c r="D27" s="687"/>
      <c r="E27" s="687"/>
      <c r="F27" s="688"/>
      <c r="G27" s="688"/>
      <c r="H27" s="688"/>
      <c r="I27" s="688"/>
      <c r="J27" s="688"/>
      <c r="K27" s="688"/>
      <c r="L27" s="688"/>
      <c r="M27" s="688"/>
      <c r="N27" s="688"/>
      <c r="O27" s="688"/>
      <c r="P27" s="688"/>
      <c r="Q27" s="688"/>
    </row>
    <row r="28" spans="3:17">
      <c r="C28" s="660" t="str">
        <f>"   Rate Base  (True-Up TCOS, ln "&amp;TCOS!B112&amp;")"</f>
        <v xml:space="preserve">   Rate Base  (True-Up TCOS, ln 58)</v>
      </c>
      <c r="D28" s="661"/>
      <c r="E28" s="698">
        <f>TCOS!L112</f>
        <v>2343861144.1342559</v>
      </c>
      <c r="F28" s="830"/>
      <c r="G28" s="830"/>
      <c r="H28" s="688"/>
      <c r="I28" s="688"/>
      <c r="J28" s="688"/>
      <c r="K28" s="688"/>
      <c r="L28" s="688"/>
      <c r="M28" s="688"/>
      <c r="N28" s="688"/>
      <c r="O28" s="688"/>
      <c r="P28" s="830"/>
      <c r="Q28" s="688"/>
    </row>
    <row r="29" spans="3:17">
      <c r="C29" s="664" t="s">
        <v>52</v>
      </c>
      <c r="D29" s="700"/>
      <c r="E29" s="674">
        <f>F24</f>
        <v>7.5295964809268534E-2</v>
      </c>
      <c r="F29" s="688"/>
      <c r="G29" s="688"/>
      <c r="H29" s="688"/>
      <c r="I29" s="688"/>
      <c r="J29" s="688"/>
      <c r="K29" s="688"/>
      <c r="L29" s="688"/>
      <c r="M29" s="688"/>
      <c r="N29" s="688"/>
      <c r="O29" s="688"/>
      <c r="P29" s="688"/>
      <c r="Q29" s="688"/>
    </row>
    <row r="30" spans="3:17">
      <c r="C30" s="701" t="s">
        <v>53</v>
      </c>
      <c r="D30" s="701"/>
      <c r="E30" s="678">
        <f>E28*E29</f>
        <v>176483286.22654483</v>
      </c>
      <c r="F30" s="688"/>
      <c r="G30" s="688"/>
      <c r="H30" s="688"/>
      <c r="I30" s="688"/>
      <c r="J30" s="679"/>
      <c r="K30" s="679"/>
      <c r="L30" s="679"/>
      <c r="M30" s="679"/>
      <c r="N30" s="679"/>
      <c r="O30" s="679"/>
      <c r="P30" s="688"/>
      <c r="Q30" s="679"/>
    </row>
    <row r="31" spans="3:17">
      <c r="C31" s="702"/>
      <c r="D31" s="663"/>
      <c r="E31" s="663"/>
      <c r="F31" s="688"/>
      <c r="G31" s="688"/>
      <c r="H31" s="688"/>
      <c r="I31" s="688"/>
      <c r="J31" s="679"/>
      <c r="K31" s="679"/>
      <c r="L31" s="679"/>
      <c r="M31" s="679"/>
      <c r="N31" s="679"/>
      <c r="O31" s="679"/>
      <c r="P31" s="688"/>
      <c r="Q31" s="679"/>
    </row>
    <row r="32" spans="3:17"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4"/>
      <c r="J32" s="705"/>
      <c r="K32" s="705"/>
      <c r="L32" s="705"/>
      <c r="M32" s="705"/>
      <c r="N32" s="705"/>
      <c r="O32" s="705"/>
      <c r="P32" s="704"/>
      <c r="Q32" s="705"/>
    </row>
    <row r="33" spans="2:17">
      <c r="C33" s="660"/>
      <c r="D33" s="663"/>
      <c r="E33" s="663"/>
      <c r="F33" s="688"/>
      <c r="G33" s="688"/>
      <c r="H33" s="688"/>
      <c r="I33" s="688"/>
      <c r="J33" s="679"/>
      <c r="K33" s="679"/>
      <c r="L33" s="679"/>
      <c r="M33" s="679"/>
      <c r="N33" s="679"/>
      <c r="O33" s="679"/>
      <c r="P33" s="688"/>
      <c r="Q33" s="679"/>
    </row>
    <row r="34" spans="2:17">
      <c r="C34" s="664" t="s">
        <v>54</v>
      </c>
      <c r="D34" s="682"/>
      <c r="E34" s="706">
        <f>E30</f>
        <v>176483286.22654483</v>
      </c>
      <c r="F34" s="688"/>
      <c r="G34" s="688"/>
      <c r="H34" s="688"/>
      <c r="I34" s="688"/>
      <c r="J34" s="688"/>
      <c r="K34" s="688"/>
      <c r="L34" s="688"/>
      <c r="M34" s="688"/>
      <c r="N34" s="688"/>
      <c r="O34" s="688"/>
      <c r="P34" s="688"/>
      <c r="Q34" s="688"/>
    </row>
    <row r="35" spans="2:17">
      <c r="C35" s="660" t="str">
        <f>"   Effective Tax Rate  (TCOS, ln "&amp;TCOS!B170&amp;")"</f>
        <v xml:space="preserve">   Effective Tax Rate  (TCOS, ln 97)</v>
      </c>
      <c r="D35" s="538"/>
      <c r="E35" s="707">
        <f>TCOS!G170</f>
        <v>0.26766713034902878</v>
      </c>
      <c r="F35" s="314"/>
      <c r="G35" s="314"/>
      <c r="H35" s="314"/>
      <c r="I35" s="708"/>
      <c r="J35" s="314"/>
      <c r="K35" s="427"/>
      <c r="Q35" s="427"/>
    </row>
    <row r="36" spans="2:17">
      <c r="C36" s="702" t="s">
        <v>55</v>
      </c>
      <c r="D36" s="538"/>
      <c r="E36" s="709">
        <f>E34*E35</f>
        <v>47238774.778825529</v>
      </c>
      <c r="F36" s="314"/>
      <c r="G36" s="314"/>
      <c r="H36" s="314"/>
      <c r="I36" s="708"/>
      <c r="J36" s="314"/>
      <c r="K36" s="427"/>
      <c r="Q36" s="427"/>
    </row>
    <row r="37" spans="2:17" ht="15">
      <c r="C37" s="660" t="s">
        <v>97</v>
      </c>
      <c r="D37" s="326"/>
      <c r="E37" s="710">
        <f>TCOS!L178</f>
        <v>0</v>
      </c>
      <c r="F37" s="326"/>
      <c r="G37" s="326"/>
      <c r="H37" s="326"/>
      <c r="I37" s="326"/>
      <c r="J37" s="326"/>
      <c r="K37" s="326"/>
      <c r="L37" s="326"/>
      <c r="M37" s="326"/>
      <c r="N37" s="326"/>
      <c r="O37" s="326"/>
      <c r="P37" s="231"/>
      <c r="Q37" s="326"/>
    </row>
    <row r="38" spans="2:17" ht="15">
      <c r="C38" s="660" t="s">
        <v>550</v>
      </c>
      <c r="D38" s="326"/>
      <c r="E38" s="710">
        <f>TCOS!L179</f>
        <v>733744.98717158835</v>
      </c>
      <c r="F38" s="326"/>
      <c r="G38" s="326"/>
      <c r="H38" s="326"/>
      <c r="I38" s="326"/>
      <c r="J38" s="326"/>
      <c r="K38" s="326"/>
      <c r="L38" s="326"/>
      <c r="M38" s="326"/>
      <c r="N38" s="326"/>
      <c r="O38" s="326"/>
      <c r="P38" s="231"/>
      <c r="Q38" s="326"/>
    </row>
    <row r="39" spans="2:17" ht="15">
      <c r="C39" s="660" t="s">
        <v>552</v>
      </c>
      <c r="D39" s="326"/>
      <c r="E39" s="831">
        <f>TCOS!L180</f>
        <v>794252.44571004959</v>
      </c>
      <c r="F39" s="326"/>
      <c r="G39" s="326"/>
      <c r="H39" s="326"/>
      <c r="I39" s="326"/>
      <c r="J39" s="326"/>
      <c r="K39" s="326"/>
      <c r="L39" s="326"/>
      <c r="M39" s="326"/>
      <c r="N39" s="326"/>
      <c r="O39" s="326"/>
      <c r="P39" s="231"/>
      <c r="Q39" s="326"/>
    </row>
    <row r="40" spans="2:17" ht="15">
      <c r="C40" s="702" t="s">
        <v>56</v>
      </c>
      <c r="D40" s="326"/>
      <c r="E40" s="710">
        <f>E36+E37+E38+E39</f>
        <v>48766772.211707167</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7" t="s">
        <v>462</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6"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6"/>
      <c r="D44" s="326"/>
      <c r="E44" s="326"/>
      <c r="F44" s="326"/>
      <c r="G44" s="326"/>
      <c r="H44" s="326"/>
      <c r="I44" s="326"/>
      <c r="J44" s="326"/>
      <c r="K44" s="326"/>
      <c r="L44" s="326"/>
      <c r="M44" s="326"/>
      <c r="N44" s="326"/>
      <c r="O44" s="326"/>
      <c r="P44" s="189"/>
      <c r="Q44" s="326"/>
    </row>
    <row r="45" spans="2:17" ht="15.75">
      <c r="C45" s="659" t="s">
        <v>253</v>
      </c>
      <c r="D45" s="326"/>
      <c r="E45" s="326"/>
      <c r="F45" s="325"/>
      <c r="G45" s="325"/>
      <c r="H45" s="326"/>
      <c r="I45" s="326"/>
      <c r="J45" s="326"/>
      <c r="K45" s="326"/>
      <c r="L45" s="326"/>
      <c r="M45" s="326"/>
      <c r="N45" s="326"/>
      <c r="O45" s="326"/>
      <c r="P45" s="189"/>
      <c r="Q45" s="326"/>
    </row>
    <row r="46" spans="2:17">
      <c r="B46" s="348"/>
      <c r="C46" s="712"/>
      <c r="D46" s="713"/>
      <c r="E46" s="713"/>
      <c r="F46" s="713"/>
      <c r="G46" s="713"/>
      <c r="H46" s="713"/>
      <c r="I46" s="713"/>
      <c r="J46" s="713"/>
      <c r="K46" s="713"/>
      <c r="L46" s="713"/>
      <c r="M46" s="713"/>
      <c r="N46" s="713"/>
      <c r="O46" s="713"/>
      <c r="P46" s="710"/>
      <c r="Q46" s="713"/>
    </row>
    <row r="47" spans="2:17" ht="12.75" customHeight="1">
      <c r="B47" s="348"/>
      <c r="C47" s="660" t="str">
        <f>"   Annual Revenue Requirement  (TCOS, ln "&amp;TCOS!B13&amp;")"</f>
        <v xml:space="preserve">   Annual Revenue Requirement  (TCOS, ln 1)</v>
      </c>
      <c r="D47" s="713"/>
      <c r="E47" s="713"/>
      <c r="F47" s="710">
        <f>TCOS!L13</f>
        <v>356061928.80645388</v>
      </c>
      <c r="G47" s="710"/>
      <c r="H47" s="832" t="s">
        <v>406</v>
      </c>
      <c r="I47" s="713"/>
      <c r="J47" s="713"/>
      <c r="K47" s="713"/>
      <c r="L47" s="713"/>
      <c r="M47" s="713"/>
      <c r="N47" s="713"/>
      <c r="O47" s="713"/>
      <c r="P47" s="710"/>
      <c r="Q47" s="713"/>
    </row>
    <row r="48" spans="2:17" ht="12.75" customHeight="1">
      <c r="B48" s="348"/>
      <c r="C48" s="714" t="str">
        <f>"   Lease Payments (TCOS, Lns "&amp;TCOS!B150&amp;")"</f>
        <v xml:space="preserve">   Lease Payments (TCOS, Lns 80)</v>
      </c>
      <c r="D48" s="713"/>
      <c r="E48" s="713"/>
      <c r="F48" s="710">
        <f>TCOS!L150</f>
        <v>0</v>
      </c>
      <c r="G48" s="710"/>
      <c r="H48" s="832"/>
      <c r="I48" s="713"/>
      <c r="J48" s="713"/>
      <c r="K48" s="713"/>
      <c r="L48" s="713"/>
      <c r="M48" s="713"/>
      <c r="N48" s="713"/>
      <c r="O48" s="713"/>
      <c r="P48" s="710"/>
      <c r="Q48" s="713"/>
    </row>
    <row r="49" spans="2:17">
      <c r="B49" s="348"/>
      <c r="C49" s="660" t="str">
        <f>"   Return  (TCOS, ln "&amp;TCOS!B183&amp;")"</f>
        <v xml:space="preserve">   Return  (TCOS, ln 109)</v>
      </c>
      <c r="D49" s="713"/>
      <c r="E49" s="713"/>
      <c r="F49" s="715">
        <f>TCOS!L183</f>
        <v>176081000.57752141</v>
      </c>
      <c r="G49" s="715"/>
      <c r="H49" s="716"/>
      <c r="I49" s="716"/>
      <c r="J49" s="716"/>
      <c r="K49" s="716"/>
      <c r="L49" s="716"/>
      <c r="M49" s="716"/>
      <c r="N49" s="716"/>
      <c r="O49" s="716"/>
      <c r="P49" s="710"/>
      <c r="Q49" s="716"/>
    </row>
    <row r="50" spans="2:17">
      <c r="B50" s="348"/>
      <c r="C50" s="660" t="str">
        <f>"   Income Taxes  (TCOS, ln "&amp;TCOS!B181&amp;")"</f>
        <v xml:space="preserve">   Income Taxes  (TCOS, ln 108)</v>
      </c>
      <c r="D50" s="713"/>
      <c r="E50" s="713"/>
      <c r="F50" s="717">
        <f>TCOS!L181</f>
        <v>48659093.566452473</v>
      </c>
      <c r="G50" s="717"/>
      <c r="H50" s="713"/>
      <c r="I50" s="713"/>
      <c r="J50" s="718"/>
      <c r="K50" s="718"/>
      <c r="L50" s="718"/>
      <c r="M50" s="718"/>
      <c r="N50" s="718"/>
      <c r="O50" s="718"/>
      <c r="P50" s="713"/>
      <c r="Q50" s="718"/>
    </row>
    <row r="51" spans="2:17">
      <c r="B51" s="348"/>
      <c r="C51" s="1538" t="s">
        <v>619</v>
      </c>
      <c r="D51" s="1539"/>
      <c r="E51" s="713"/>
      <c r="F51" s="715">
        <f>F47-F49-F50-F48</f>
        <v>131321834.66248</v>
      </c>
      <c r="G51" s="715"/>
      <c r="H51" s="719"/>
      <c r="I51" s="713"/>
      <c r="J51" s="719"/>
      <c r="K51" s="719"/>
      <c r="L51" s="719"/>
      <c r="M51" s="719"/>
      <c r="N51" s="719"/>
      <c r="O51" s="719"/>
      <c r="P51" s="719"/>
      <c r="Q51" s="719"/>
    </row>
    <row r="52" spans="2:17">
      <c r="B52" s="348"/>
      <c r="C52" s="1539"/>
      <c r="D52" s="1539"/>
      <c r="E52" s="713"/>
      <c r="F52" s="710"/>
      <c r="G52" s="710"/>
      <c r="H52" s="720"/>
      <c r="I52" s="721"/>
      <c r="J52" s="721"/>
      <c r="K52" s="721"/>
      <c r="L52" s="721"/>
      <c r="M52" s="721"/>
      <c r="N52" s="721"/>
      <c r="O52" s="721"/>
      <c r="P52" s="721"/>
      <c r="Q52" s="721"/>
    </row>
    <row r="53" spans="2:17" ht="15.75">
      <c r="B53" s="348"/>
      <c r="C53" s="659" t="str">
        <f>"B.   Determine Annual Revenue Requirement with hypothetical "&amp;F17&amp;" basis point increase in ROE."</f>
        <v>B.   Determine Annual Revenue Requirement with hypothetical 0 basis point increase in ROE.</v>
      </c>
      <c r="D53" s="722"/>
      <c r="E53" s="722"/>
      <c r="F53" s="710"/>
      <c r="G53" s="710"/>
      <c r="H53" s="720"/>
      <c r="I53" s="721"/>
      <c r="J53" s="721"/>
      <c r="K53" s="721"/>
      <c r="L53" s="721"/>
      <c r="M53" s="721"/>
      <c r="N53" s="721"/>
      <c r="O53" s="721"/>
      <c r="P53" s="721"/>
      <c r="Q53" s="721"/>
    </row>
    <row r="54" spans="2:17">
      <c r="B54" s="348"/>
      <c r="C54" s="712"/>
      <c r="D54" s="722"/>
      <c r="E54" s="722"/>
      <c r="F54" s="710"/>
      <c r="G54" s="710"/>
      <c r="H54" s="720"/>
      <c r="I54" s="721"/>
      <c r="J54" s="721"/>
      <c r="K54" s="721"/>
      <c r="L54" s="721"/>
      <c r="M54" s="721"/>
      <c r="N54" s="721"/>
      <c r="O54" s="721"/>
      <c r="P54" s="721"/>
      <c r="Q54" s="721"/>
    </row>
    <row r="55" spans="2:17">
      <c r="B55" s="348"/>
      <c r="C55" s="714" t="str">
        <f>C51</f>
        <v xml:space="preserve">   Annual Revenue Requirement, Less Lease Payments, Return and Taxes</v>
      </c>
      <c r="D55" s="722"/>
      <c r="E55" s="722"/>
      <c r="F55" s="710">
        <f>F51</f>
        <v>131321834.66248</v>
      </c>
      <c r="G55" s="710"/>
      <c r="H55" s="713"/>
      <c r="I55" s="713"/>
      <c r="J55" s="713"/>
      <c r="K55" s="713"/>
      <c r="L55" s="713"/>
      <c r="M55" s="713"/>
      <c r="N55" s="713"/>
      <c r="O55" s="713"/>
      <c r="P55" s="723"/>
      <c r="Q55" s="713"/>
    </row>
    <row r="56" spans="2:17">
      <c r="B56" s="348"/>
      <c r="C56" s="664" t="s">
        <v>94</v>
      </c>
      <c r="D56" s="724"/>
      <c r="E56" s="725"/>
      <c r="F56" s="726">
        <f>E30</f>
        <v>176483286.22654483</v>
      </c>
      <c r="G56" s="726"/>
      <c r="H56" s="725"/>
      <c r="I56" s="833"/>
      <c r="J56" s="725"/>
      <c r="K56" s="725"/>
      <c r="L56" s="725"/>
      <c r="M56" s="725"/>
      <c r="N56" s="725"/>
      <c r="O56" s="725"/>
      <c r="P56" s="725"/>
      <c r="Q56" s="725"/>
    </row>
    <row r="57" spans="2:17" ht="12.75" customHeight="1">
      <c r="B57" s="348"/>
      <c r="C57" s="660" t="s">
        <v>62</v>
      </c>
      <c r="D57" s="713"/>
      <c r="E57" s="713"/>
      <c r="F57" s="717">
        <f>E40</f>
        <v>48766772.211707167</v>
      </c>
      <c r="G57" s="717"/>
      <c r="H57" s="314"/>
      <c r="I57" s="708"/>
      <c r="J57" s="314"/>
      <c r="K57" s="427"/>
      <c r="Q57" s="427"/>
    </row>
    <row r="58" spans="2:17">
      <c r="B58" s="348"/>
      <c r="C58" s="725" t="str">
        <f>"   Annual Revenue Requirement, with "&amp;F17&amp;" Basis Point ROE increase"</f>
        <v xml:space="preserve">   Annual Revenue Requirement, with 0 Basis Point ROE increase</v>
      </c>
      <c r="D58" s="538"/>
      <c r="E58" s="314"/>
      <c r="F58" s="709">
        <f>SUM(F55:F57)</f>
        <v>356571893.10073203</v>
      </c>
      <c r="G58" s="709"/>
      <c r="H58" s="314"/>
      <c r="I58" s="708"/>
      <c r="J58" s="314"/>
      <c r="K58" s="427"/>
      <c r="Q58" s="427"/>
    </row>
    <row r="59" spans="2:17">
      <c r="B59" s="348"/>
      <c r="C59" s="660" t="str">
        <f>"   Depreciation  (TCOS, ln "&amp;TCOS!B154&amp;")"</f>
        <v xml:space="preserve">   Depreciation  (TCOS, ln 83)</v>
      </c>
      <c r="D59" s="538"/>
      <c r="E59" s="314"/>
      <c r="F59" s="727">
        <f>TCOS!L154</f>
        <v>73521205.394835889</v>
      </c>
      <c r="G59" s="727"/>
      <c r="H59" s="709"/>
      <c r="I59" s="708"/>
      <c r="J59" s="314"/>
      <c r="K59" s="427"/>
      <c r="Q59" s="427"/>
    </row>
    <row r="60" spans="2:17">
      <c r="B60" s="348"/>
      <c r="C60" s="1540" t="str">
        <f>"   Annual Rev. Req, w/ "&amp;F17&amp;" Basis Point ROE increase, less Depreciation"</f>
        <v xml:space="preserve">   Annual Rev. Req, w/ 0 Basis Point ROE increase, less Depreciation</v>
      </c>
      <c r="D60" s="1530"/>
      <c r="E60" s="314"/>
      <c r="F60" s="709">
        <f>F58-F59</f>
        <v>283050687.70589614</v>
      </c>
      <c r="G60" s="709"/>
      <c r="H60" s="314"/>
      <c r="I60" s="708"/>
      <c r="J60" s="314"/>
      <c r="K60" s="427"/>
      <c r="Q60" s="427"/>
    </row>
    <row r="61" spans="2:17">
      <c r="B61" s="348"/>
      <c r="C61" s="1530"/>
      <c r="D61" s="1530"/>
      <c r="E61" s="314"/>
      <c r="F61" s="314"/>
      <c r="G61" s="314"/>
      <c r="H61" s="314"/>
      <c r="I61" s="708"/>
      <c r="J61" s="314"/>
      <c r="K61" s="427"/>
      <c r="Q61" s="427"/>
    </row>
    <row r="62" spans="2:17" ht="15.75">
      <c r="B62" s="348"/>
      <c r="C62" s="659" t="str">
        <f>"C.   Determine FCR with hypothetical "&amp;F17&amp;" basis point ROE increase."</f>
        <v>C.   Determine FCR with hypothetical 0 basis point ROE increase.</v>
      </c>
      <c r="D62" s="538"/>
      <c r="E62" s="314"/>
      <c r="F62" s="314"/>
      <c r="G62" s="314"/>
      <c r="H62" s="314"/>
      <c r="I62" s="708"/>
      <c r="J62" s="314"/>
      <c r="K62" s="427"/>
      <c r="Q62" s="427"/>
    </row>
    <row r="63" spans="2:17">
      <c r="B63" s="348"/>
      <c r="C63" s="314"/>
      <c r="D63" s="538"/>
      <c r="E63" s="314"/>
      <c r="F63" s="314"/>
      <c r="G63" s="314"/>
      <c r="H63" s="314"/>
      <c r="I63" s="708"/>
      <c r="J63" s="314"/>
      <c r="K63" s="427"/>
      <c r="Q63" s="427"/>
    </row>
    <row r="64" spans="2:17">
      <c r="B64" s="348"/>
      <c r="C64" s="660" t="str">
        <f>"   Net Transmission Plant  (Projected TCOS, ln "&amp;TCOS!B79&amp;")"</f>
        <v xml:space="preserve">   Net Transmission Plant  (Projected TCOS, ln 33)</v>
      </c>
      <c r="D64" s="538"/>
      <c r="E64" s="314"/>
      <c r="F64" s="709">
        <f>TCOS!L79</f>
        <v>2496318452.9076829</v>
      </c>
      <c r="G64" s="709"/>
      <c r="H64" s="709"/>
      <c r="I64" s="834"/>
      <c r="J64" s="314"/>
      <c r="K64" s="427"/>
      <c r="Q64" s="427"/>
    </row>
    <row r="65" spans="2:17">
      <c r="B65" s="348"/>
      <c r="C65" s="725" t="str">
        <f>"   Annual Revenue Requirement, with "&amp;F17&amp;" Basis Point ROE increase"</f>
        <v xml:space="preserve">   Annual Revenue Requirement, with 0 Basis Point ROE increase</v>
      </c>
      <c r="D65" s="538"/>
      <c r="E65" s="314"/>
      <c r="F65" s="709">
        <f>F58</f>
        <v>356571893.10073203</v>
      </c>
      <c r="G65" s="709"/>
      <c r="H65" s="314"/>
      <c r="I65" s="708"/>
      <c r="J65" s="314"/>
      <c r="K65" s="427"/>
      <c r="Q65" s="427"/>
    </row>
    <row r="66" spans="2:17">
      <c r="B66" s="348"/>
      <c r="C66" s="725" t="str">
        <f>"   FCR with "&amp;F17&amp;" Basis Point increase in ROE"</f>
        <v xml:space="preserve">   FCR with 0 Basis Point increase in ROE</v>
      </c>
      <c r="D66" s="538"/>
      <c r="E66" s="314"/>
      <c r="F66" s="707">
        <f>IF(F64=0,0,F65/F64)</f>
        <v>0.14283910479666614</v>
      </c>
      <c r="G66" s="707"/>
      <c r="H66" s="707"/>
      <c r="I66" s="708"/>
      <c r="J66" s="314"/>
      <c r="K66" s="427"/>
      <c r="Q66" s="427"/>
    </row>
    <row r="67" spans="2:17">
      <c r="B67" s="348"/>
      <c r="C67" s="209"/>
      <c r="D67" s="538"/>
      <c r="E67" s="314"/>
      <c r="F67" s="348"/>
      <c r="G67" s="348"/>
      <c r="H67" s="314"/>
      <c r="I67" s="708"/>
      <c r="J67" s="314"/>
      <c r="K67" s="427"/>
      <c r="Q67" s="427"/>
    </row>
    <row r="68" spans="2:17">
      <c r="B68" s="348"/>
      <c r="C68" s="725" t="str">
        <f>"   Annual Rev. Req, w / "&amp;F17&amp;" Basis Point ROE increase, less Dep."</f>
        <v xml:space="preserve">   Annual Rev. Req, w / 0 Basis Point ROE increase, less Dep.</v>
      </c>
      <c r="D68" s="538"/>
      <c r="E68" s="314"/>
      <c r="F68" s="709">
        <f>F60</f>
        <v>283050687.70589614</v>
      </c>
      <c r="G68" s="709"/>
      <c r="H68" s="314"/>
      <c r="I68" s="708"/>
      <c r="J68" s="314"/>
      <c r="K68" s="427"/>
      <c r="Q68" s="427"/>
    </row>
    <row r="69" spans="2:17">
      <c r="B69" s="348"/>
      <c r="C69" s="725" t="str">
        <f>"   FCR with "&amp;F17&amp;" Basis Point ROE increase, less Depreciation"</f>
        <v xml:space="preserve">   FCR with 0 Basis Point ROE increase, less Depreciation</v>
      </c>
      <c r="D69" s="538"/>
      <c r="E69" s="314"/>
      <c r="F69" s="707">
        <f>IF(F68=0,0,F68/F64)</f>
        <v>0.11338725128446732</v>
      </c>
      <c r="G69" s="707"/>
      <c r="H69" s="314"/>
      <c r="I69" s="708"/>
      <c r="J69" s="314"/>
      <c r="K69" s="427"/>
      <c r="Q69" s="427"/>
    </row>
    <row r="70" spans="2:17">
      <c r="B70" s="348"/>
      <c r="C70" s="660" t="str">
        <f>"   FCR less Depreciation  (TCOS, ln "&amp;TCOS!B31&amp;")"</f>
        <v xml:space="preserve">   FCR less Depreciation  (TCOS, ln 10)</v>
      </c>
      <c r="D70" s="538"/>
      <c r="E70" s="314"/>
      <c r="F70" s="729">
        <f>TCOS!L31</f>
        <v>0.11318296473052861</v>
      </c>
      <c r="G70" s="729"/>
      <c r="H70" s="314"/>
      <c r="I70" s="708"/>
      <c r="J70" s="314"/>
      <c r="K70" s="427"/>
      <c r="Q70" s="427"/>
    </row>
    <row r="71" spans="2:17">
      <c r="B71" s="348"/>
      <c r="C71" s="1540" t="str">
        <f>"   Incremental FCR with "&amp;F17&amp;" Basis Point ROE increase, less Depreciation"</f>
        <v xml:space="preserve">   Incremental FCR with 0 Basis Point ROE increase, less Depreciation</v>
      </c>
      <c r="D71" s="1530"/>
      <c r="E71" s="314"/>
      <c r="F71" s="707">
        <f>F69-F70</f>
        <v>2.0428655393871231E-4</v>
      </c>
      <c r="G71" s="707"/>
      <c r="H71" s="314"/>
      <c r="I71" s="708"/>
      <c r="J71" s="314"/>
      <c r="K71" s="427"/>
      <c r="Q71" s="427"/>
    </row>
    <row r="72" spans="2:17">
      <c r="B72" s="348"/>
      <c r="C72" s="1530"/>
      <c r="D72" s="1530"/>
      <c r="E72" s="314"/>
      <c r="F72" s="707"/>
      <c r="G72" s="707"/>
      <c r="H72" s="314"/>
      <c r="I72" s="708"/>
      <c r="J72" s="314"/>
      <c r="K72" s="427"/>
      <c r="Q72" s="427"/>
    </row>
    <row r="73" spans="2:17" ht="18.75">
      <c r="B73" s="657" t="s">
        <v>463</v>
      </c>
      <c r="C73" s="656" t="s">
        <v>63</v>
      </c>
      <c r="D73" s="538"/>
      <c r="E73" s="314"/>
      <c r="F73" s="707"/>
      <c r="G73" s="707"/>
      <c r="H73" s="314"/>
      <c r="I73" s="708"/>
      <c r="J73" s="314"/>
      <c r="K73" s="427"/>
      <c r="Q73" s="427"/>
    </row>
    <row r="74" spans="2:17">
      <c r="B74" s="348"/>
      <c r="C74" s="725"/>
      <c r="D74" s="538"/>
      <c r="E74" s="314"/>
      <c r="F74" s="707"/>
      <c r="G74" s="707"/>
      <c r="H74" s="314"/>
      <c r="I74" s="708"/>
      <c r="J74" s="314"/>
      <c r="K74" s="427"/>
      <c r="Q74" s="427"/>
    </row>
    <row r="75" spans="2:17">
      <c r="B75" s="348"/>
      <c r="C75" s="725" t="str">
        <f>+"Average Transmission Plant Balance for "&amp;TCOS!L4&amp;" TCOS, ln "&amp;TCOS!B63</f>
        <v>Average Transmission Plant Balance for 2025 TCOS, ln 19</v>
      </c>
      <c r="D75" s="538"/>
      <c r="E75" s="314"/>
      <c r="F75" s="314"/>
      <c r="G75" s="314"/>
      <c r="H75" s="708">
        <f>TCOS!L63</f>
        <v>2821927091.4255648</v>
      </c>
      <c r="J75" s="314"/>
      <c r="K75" s="427"/>
      <c r="Q75" s="427"/>
    </row>
    <row r="76" spans="2:17">
      <c r="B76" s="348"/>
      <c r="C76" s="725" t="str">
        <f>"Annual Depreciation and Amortization Expense (TCOS, ln "&amp;TCOS!B154&amp;")"</f>
        <v>Annual Depreciation and Amortization Expense (TCOS, ln 83)</v>
      </c>
      <c r="D76" s="538"/>
      <c r="E76" s="314"/>
      <c r="H76" s="490">
        <f>TCOS!L154</f>
        <v>73521205.394835889</v>
      </c>
      <c r="I76" s="708"/>
      <c r="J76" s="314"/>
      <c r="K76" s="427"/>
      <c r="Q76" s="427"/>
    </row>
    <row r="77" spans="2:17">
      <c r="B77" s="348"/>
      <c r="C77" s="725" t="s">
        <v>64</v>
      </c>
      <c r="D77" s="538"/>
      <c r="E77" s="314"/>
      <c r="H77" s="903">
        <f>H76/H75</f>
        <v>2.6053545330150564E-2</v>
      </c>
      <c r="I77" s="731"/>
      <c r="J77" s="1531"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K77" s="1531"/>
      <c r="L77" s="1531"/>
      <c r="M77" s="1531"/>
      <c r="N77" s="1531"/>
      <c r="O77" s="1531"/>
      <c r="P77" s="1531"/>
      <c r="Q77" s="658"/>
    </row>
    <row r="78" spans="2:17">
      <c r="B78" s="348"/>
      <c r="C78" s="725" t="s">
        <v>65</v>
      </c>
      <c r="D78" s="538"/>
      <c r="E78" s="314"/>
      <c r="H78" s="732">
        <f>IF(H77=0,0,1/H77)</f>
        <v>38.382492184000242</v>
      </c>
      <c r="I78" s="708"/>
      <c r="J78" s="1531"/>
      <c r="K78" s="1531"/>
      <c r="L78" s="1531"/>
      <c r="M78" s="1531"/>
      <c r="N78" s="1531"/>
      <c r="O78" s="1531"/>
      <c r="P78" s="1531"/>
      <c r="Q78" s="658"/>
    </row>
    <row r="79" spans="2:17">
      <c r="B79" s="348"/>
      <c r="C79" s="725" t="s">
        <v>588</v>
      </c>
      <c r="D79" s="538"/>
      <c r="E79" s="314"/>
      <c r="H79" s="734">
        <f>ROUND(H78,0)</f>
        <v>38</v>
      </c>
      <c r="I79" s="708"/>
      <c r="J79" s="1531"/>
      <c r="K79" s="1531"/>
      <c r="L79" s="1531"/>
      <c r="M79" s="1531"/>
      <c r="N79" s="1531"/>
      <c r="O79" s="1531"/>
      <c r="P79" s="1531"/>
      <c r="Q79" s="658"/>
    </row>
    <row r="80" spans="2:17">
      <c r="B80" s="348"/>
      <c r="C80" s="725"/>
      <c r="D80" s="538"/>
      <c r="E80" s="314"/>
      <c r="H80" s="734"/>
      <c r="I80" s="708"/>
      <c r="J80" s="1531"/>
      <c r="K80" s="1531"/>
      <c r="L80" s="1531"/>
      <c r="M80" s="1531"/>
      <c r="N80" s="1531"/>
      <c r="O80" s="1531"/>
      <c r="P80" s="1531"/>
    </row>
    <row r="81" spans="1:17" ht="20.25">
      <c r="A81" s="737" t="str">
        <f>""&amp;A6&amp;" Worksheet K -  ATRR TRUE-UP Calculation for PJM Projects Charged to Benefiting Zones"</f>
        <v>West Virginia Transmission Company Worksheet K -  ATRR TRUE-UP Calculation for PJM Projects Charged to Benefiting Zones</v>
      </c>
      <c r="B81" s="348"/>
      <c r="C81" s="725"/>
      <c r="D81" s="538"/>
      <c r="E81" s="314"/>
      <c r="F81" s="707"/>
      <c r="G81" s="707"/>
      <c r="H81" s="314"/>
      <c r="I81" s="708"/>
      <c r="L81" s="564"/>
      <c r="M81" s="564"/>
      <c r="N81" s="564"/>
      <c r="O81" s="653" t="str">
        <f>"Page "&amp;SUM(Q$8:Q81)&amp;" of "</f>
        <v xml:space="preserve">Page 2 of </v>
      </c>
      <c r="P81" s="654">
        <f>COUNT(Q$8:Q$57702)</f>
        <v>2</v>
      </c>
      <c r="Q81" s="738">
        <v>1</v>
      </c>
    </row>
    <row r="82" spans="1:17">
      <c r="B82" s="348"/>
      <c r="C82" s="314"/>
      <c r="D82" s="538"/>
      <c r="E82" s="314"/>
      <c r="F82" s="314"/>
      <c r="G82" s="314"/>
      <c r="H82" s="314"/>
      <c r="I82" s="708"/>
      <c r="J82" s="314"/>
      <c r="K82" s="427"/>
    </row>
    <row r="83" spans="1:17" ht="18">
      <c r="B83" s="657" t="s">
        <v>464</v>
      </c>
      <c r="C83" s="739" t="s">
        <v>85</v>
      </c>
      <c r="D83" s="538"/>
      <c r="E83" s="314"/>
      <c r="F83" s="314"/>
      <c r="G83" s="314"/>
      <c r="H83" s="314"/>
      <c r="I83" s="708"/>
      <c r="J83" s="708"/>
      <c r="K83" s="730"/>
      <c r="L83" s="708"/>
      <c r="M83" s="708"/>
      <c r="N83" s="708"/>
      <c r="O83" s="708"/>
      <c r="Q83" s="427"/>
    </row>
    <row r="84" spans="1:17" ht="18.75">
      <c r="B84" s="657"/>
      <c r="C84" s="656"/>
      <c r="D84" s="538"/>
      <c r="E84" s="314"/>
      <c r="F84" s="314"/>
      <c r="G84" s="314"/>
      <c r="H84" s="314"/>
      <c r="I84" s="708"/>
      <c r="J84" s="708"/>
      <c r="K84" s="730"/>
      <c r="L84" s="708"/>
      <c r="M84" s="708"/>
      <c r="N84" s="708"/>
      <c r="O84" s="708"/>
    </row>
    <row r="85" spans="1:17" ht="18.75">
      <c r="B85" s="657"/>
      <c r="C85" s="656" t="s">
        <v>86</v>
      </c>
      <c r="D85" s="538"/>
      <c r="E85" s="314"/>
      <c r="F85" s="314"/>
      <c r="G85" s="314"/>
      <c r="H85" s="314"/>
      <c r="I85" s="708"/>
      <c r="J85" s="708"/>
      <c r="K85" s="730"/>
      <c r="L85" s="708"/>
      <c r="M85" s="708"/>
      <c r="N85" s="708"/>
      <c r="O85" s="708"/>
    </row>
    <row r="86" spans="1:17" ht="15.75" thickBot="1">
      <c r="C86" s="240"/>
      <c r="D86" s="538"/>
      <c r="E86" s="314"/>
      <c r="F86" s="314"/>
      <c r="G86" s="314"/>
      <c r="H86" s="314"/>
      <c r="I86" s="708"/>
      <c r="J86" s="708"/>
      <c r="K86" s="730"/>
      <c r="L86" s="708"/>
      <c r="M86" s="708"/>
      <c r="N86" s="708"/>
      <c r="O86" s="708"/>
    </row>
    <row r="87" spans="1:17" ht="15.75">
      <c r="C87" s="659" t="s">
        <v>87</v>
      </c>
      <c r="D87" s="538"/>
      <c r="E87" s="314"/>
      <c r="F87" s="314"/>
      <c r="G87" s="314"/>
      <c r="H87" s="806"/>
      <c r="I87" s="314" t="s">
        <v>66</v>
      </c>
      <c r="J87" s="314"/>
      <c r="K87" s="427"/>
      <c r="L87" s="835">
        <f>+J93</f>
        <v>2016</v>
      </c>
      <c r="M87" s="816" t="s">
        <v>45</v>
      </c>
      <c r="N87" s="816" t="s">
        <v>46</v>
      </c>
      <c r="O87" s="817" t="s">
        <v>47</v>
      </c>
    </row>
    <row r="88" spans="1:17" ht="15.75">
      <c r="C88" s="659"/>
      <c r="D88" s="538"/>
      <c r="E88" s="314"/>
      <c r="F88" s="314"/>
      <c r="H88" s="314"/>
      <c r="I88" s="744"/>
      <c r="J88" s="744"/>
      <c r="K88" s="745"/>
      <c r="L88" s="836" t="s">
        <v>235</v>
      </c>
      <c r="M88" s="837" t="e">
        <f>VLOOKUP(J93,C100:P159,10)</f>
        <v>#N/A</v>
      </c>
      <c r="N88" s="837" t="e">
        <f>VLOOKUP(J93,C100:P159,12)</f>
        <v>#N/A</v>
      </c>
      <c r="O88" s="838" t="e">
        <f>+N88-M88</f>
        <v>#N/A</v>
      </c>
    </row>
    <row r="89" spans="1:17">
      <c r="C89" s="749" t="s">
        <v>88</v>
      </c>
      <c r="D89" s="1527"/>
      <c r="E89" s="1527"/>
      <c r="F89" s="1527"/>
      <c r="G89" s="1527"/>
      <c r="H89" s="1527"/>
      <c r="I89" s="1527"/>
      <c r="J89" s="708"/>
      <c r="K89" s="730"/>
      <c r="L89" s="836" t="s">
        <v>236</v>
      </c>
      <c r="M89" s="839" t="e">
        <f>VLOOKUP(J93,C100:P159,6)</f>
        <v>#N/A</v>
      </c>
      <c r="N89" s="839" t="e">
        <f>VLOOKUP(J93,C100:P159,7)</f>
        <v>#N/A</v>
      </c>
      <c r="O89" s="840" t="e">
        <f>+N89-M89</f>
        <v>#N/A</v>
      </c>
    </row>
    <row r="90" spans="1:17" ht="13.5" thickBot="1">
      <c r="C90" s="753"/>
      <c r="D90" s="754"/>
      <c r="E90" s="734"/>
      <c r="F90" s="734"/>
      <c r="G90" s="734"/>
      <c r="H90" s="755"/>
      <c r="I90" s="708"/>
      <c r="J90" s="708"/>
      <c r="K90" s="730"/>
      <c r="L90" s="772" t="s">
        <v>237</v>
      </c>
      <c r="M90" s="841" t="e">
        <f>+M89-M88</f>
        <v>#N/A</v>
      </c>
      <c r="N90" s="841" t="e">
        <f>+N89-N88</f>
        <v>#N/A</v>
      </c>
      <c r="O90" s="842" t="e">
        <f>+O89-O88</f>
        <v>#N/A</v>
      </c>
    </row>
    <row r="91" spans="1:17" ht="13.5" thickBot="1">
      <c r="C91" s="756"/>
      <c r="D91" s="757"/>
      <c r="E91" s="755"/>
      <c r="F91" s="755"/>
      <c r="G91" s="755"/>
      <c r="H91" s="755"/>
      <c r="I91" s="755"/>
      <c r="J91" s="755"/>
      <c r="K91" s="758"/>
      <c r="L91" s="755"/>
      <c r="M91" s="755"/>
      <c r="N91" s="755"/>
      <c r="O91" s="755"/>
      <c r="P91" s="348"/>
    </row>
    <row r="92" spans="1:17" ht="13.5" thickBot="1">
      <c r="C92" s="759" t="s">
        <v>89</v>
      </c>
      <c r="D92" s="760"/>
      <c r="E92" s="760"/>
      <c r="F92" s="760"/>
      <c r="G92" s="760"/>
      <c r="H92" s="760"/>
      <c r="I92" s="760"/>
      <c r="J92" s="760"/>
      <c r="K92" s="762"/>
      <c r="P92" s="763"/>
    </row>
    <row r="93" spans="1:17" ht="15">
      <c r="C93" s="764" t="s">
        <v>67</v>
      </c>
      <c r="D93" s="808"/>
      <c r="E93" s="725" t="s">
        <v>68</v>
      </c>
      <c r="H93" s="765"/>
      <c r="I93" s="765"/>
      <c r="J93" s="766">
        <v>2016</v>
      </c>
      <c r="K93" s="554"/>
      <c r="L93" s="1528" t="s">
        <v>69</v>
      </c>
      <c r="M93" s="1528"/>
      <c r="N93" s="1528"/>
      <c r="O93" s="1528"/>
      <c r="P93" s="427"/>
    </row>
    <row r="94" spans="1:17">
      <c r="C94" s="764" t="s">
        <v>70</v>
      </c>
      <c r="D94" s="809"/>
      <c r="E94" s="764" t="s">
        <v>71</v>
      </c>
      <c r="F94" s="765"/>
      <c r="G94" s="765"/>
      <c r="I94" s="173"/>
      <c r="J94" s="810">
        <f>IF(H87="",0,$F$17)</f>
        <v>0</v>
      </c>
      <c r="K94" s="767"/>
      <c r="L94" s="730" t="s">
        <v>277</v>
      </c>
      <c r="P94" s="427"/>
    </row>
    <row r="95" spans="1:17">
      <c r="C95" s="764" t="s">
        <v>72</v>
      </c>
      <c r="D95" s="808"/>
      <c r="E95" s="764" t="s">
        <v>73</v>
      </c>
      <c r="F95" s="765"/>
      <c r="G95" s="765"/>
      <c r="I95" s="173"/>
      <c r="J95" s="768">
        <f>$F$70</f>
        <v>0.11318296473052861</v>
      </c>
      <c r="K95" s="769"/>
      <c r="L95" s="314" t="str">
        <f>"          INPUT TRUE-UP ARR (WITH &amp; WITHOUT INCENTIVES) FROM EACH PRIOR YEAR"</f>
        <v xml:space="preserve">          INPUT TRUE-UP ARR (WITH &amp; WITHOUT INCENTIVES) FROM EACH PRIOR YEAR</v>
      </c>
      <c r="P95" s="427"/>
    </row>
    <row r="96" spans="1:17">
      <c r="C96" s="764" t="s">
        <v>74</v>
      </c>
      <c r="D96" s="770">
        <f>H$79</f>
        <v>38</v>
      </c>
      <c r="E96" s="764" t="s">
        <v>75</v>
      </c>
      <c r="F96" s="765"/>
      <c r="G96" s="765"/>
      <c r="I96" s="173"/>
      <c r="J96" s="768">
        <f>IF(H87="",+J95,$F$69)</f>
        <v>0.11318296473052861</v>
      </c>
      <c r="K96" s="771"/>
      <c r="L96" s="314" t="s">
        <v>157</v>
      </c>
      <c r="M96" s="771"/>
      <c r="N96" s="771"/>
      <c r="O96" s="771"/>
      <c r="P96" s="427"/>
    </row>
    <row r="97" spans="2:16" ht="13.5" thickBot="1">
      <c r="C97" s="764" t="s">
        <v>76</v>
      </c>
      <c r="D97" s="807"/>
      <c r="E97" s="772" t="s">
        <v>77</v>
      </c>
      <c r="F97" s="773"/>
      <c r="G97" s="773"/>
      <c r="H97" s="774"/>
      <c r="I97" s="774"/>
      <c r="J97" s="752">
        <f>IF(D93=0,0,D93/D96)</f>
        <v>0</v>
      </c>
      <c r="K97" s="730"/>
      <c r="L97" s="730" t="s">
        <v>158</v>
      </c>
      <c r="M97" s="730"/>
      <c r="N97" s="730"/>
      <c r="O97" s="730"/>
      <c r="P97" s="427"/>
    </row>
    <row r="98" spans="2:16" ht="38.25">
      <c r="B98" s="845"/>
      <c r="C98" s="775" t="s">
        <v>67</v>
      </c>
      <c r="D98" s="776" t="s">
        <v>78</v>
      </c>
      <c r="E98" s="777" t="s">
        <v>79</v>
      </c>
      <c r="F98" s="776" t="s">
        <v>80</v>
      </c>
      <c r="G98" s="776" t="s">
        <v>238</v>
      </c>
      <c r="H98" s="777" t="s">
        <v>151</v>
      </c>
      <c r="I98" s="778" t="s">
        <v>151</v>
      </c>
      <c r="J98" s="775" t="s">
        <v>90</v>
      </c>
      <c r="K98" s="779"/>
      <c r="L98" s="777" t="s">
        <v>153</v>
      </c>
      <c r="M98" s="777" t="s">
        <v>159</v>
      </c>
      <c r="N98" s="777" t="s">
        <v>153</v>
      </c>
      <c r="O98" s="777" t="s">
        <v>161</v>
      </c>
      <c r="P98" s="777" t="s">
        <v>81</v>
      </c>
    </row>
    <row r="99" spans="2:16" ht="13.5" thickBot="1">
      <c r="C99" s="781" t="s">
        <v>467</v>
      </c>
      <c r="D99" s="782" t="s">
        <v>468</v>
      </c>
      <c r="E99" s="781" t="s">
        <v>361</v>
      </c>
      <c r="F99" s="782" t="s">
        <v>468</v>
      </c>
      <c r="G99" s="782" t="s">
        <v>468</v>
      </c>
      <c r="H99" s="783" t="s">
        <v>93</v>
      </c>
      <c r="I99" s="784" t="s">
        <v>95</v>
      </c>
      <c r="J99" s="785" t="s">
        <v>15</v>
      </c>
      <c r="K99" s="786"/>
      <c r="L99" s="783" t="s">
        <v>82</v>
      </c>
      <c r="M99" s="783" t="s">
        <v>82</v>
      </c>
      <c r="N99" s="783" t="s">
        <v>255</v>
      </c>
      <c r="O99" s="783" t="s">
        <v>255</v>
      </c>
      <c r="P99" s="783" t="s">
        <v>255</v>
      </c>
    </row>
    <row r="100" spans="2:16">
      <c r="C100" s="788" t="str">
        <f>IF(D94= "","-",D94)</f>
        <v>-</v>
      </c>
      <c r="D100" s="736">
        <f>+D93</f>
        <v>0</v>
      </c>
      <c r="E100" s="794">
        <f>+J97/12*(12-D95)</f>
        <v>0</v>
      </c>
      <c r="F100" s="843">
        <f t="shared" ref="F100:F159" si="0">+D100-E100</f>
        <v>0</v>
      </c>
      <c r="G100" s="736">
        <f>+(D100+F100)/2</f>
        <v>0</v>
      </c>
      <c r="H100" s="790">
        <f>+J95*G100+E100</f>
        <v>0</v>
      </c>
      <c r="I100" s="791">
        <f>+J96*G100+E100</f>
        <v>0</v>
      </c>
      <c r="J100" s="792">
        <f>+I100-H100</f>
        <v>0</v>
      </c>
      <c r="K100" s="792"/>
      <c r="L100" s="811"/>
      <c r="M100" s="844">
        <f t="shared" ref="M100:M159" si="1">IF(L100&lt;&gt;0,+H100-L100,0)</f>
        <v>0</v>
      </c>
      <c r="N100" s="811"/>
      <c r="O100" s="844">
        <f t="shared" ref="O100:O159" si="2">IF(N100&lt;&gt;0,+I100-N100,0)</f>
        <v>0</v>
      </c>
      <c r="P100" s="844">
        <f t="shared" ref="P100:P159" si="3">+O100-M100</f>
        <v>0</v>
      </c>
    </row>
    <row r="101" spans="2:16">
      <c r="C101" s="788" t="str">
        <f>IF(D94="","-",+C100+1)</f>
        <v>-</v>
      </c>
      <c r="D101" s="736">
        <f t="shared" ref="D101:D159" si="4">F100</f>
        <v>0</v>
      </c>
      <c r="E101" s="789">
        <f>IF(D101&gt;$J$97,$J$97,D101)</f>
        <v>0</v>
      </c>
      <c r="F101" s="789">
        <f t="shared" si="0"/>
        <v>0</v>
      </c>
      <c r="G101" s="736">
        <f t="shared" ref="G101:G159" si="5">+(D101+F101)/2</f>
        <v>0</v>
      </c>
      <c r="H101" s="794">
        <f>+J95*G101+E101</f>
        <v>0</v>
      </c>
      <c r="I101" s="795">
        <f>+J96*G101+E101</f>
        <v>0</v>
      </c>
      <c r="J101" s="792">
        <f>+I101-H101</f>
        <v>0</v>
      </c>
      <c r="K101" s="792"/>
      <c r="L101" s="812"/>
      <c r="M101" s="792">
        <f t="shared" si="1"/>
        <v>0</v>
      </c>
      <c r="N101" s="812"/>
      <c r="O101" s="792">
        <f t="shared" si="2"/>
        <v>0</v>
      </c>
      <c r="P101" s="792">
        <f t="shared" si="3"/>
        <v>0</v>
      </c>
    </row>
    <row r="102" spans="2:16">
      <c r="C102" s="788" t="str">
        <f>IF(D94="","-",+C101+1)</f>
        <v>-</v>
      </c>
      <c r="D102" s="736">
        <f t="shared" si="4"/>
        <v>0</v>
      </c>
      <c r="E102" s="789">
        <f t="shared" ref="E102:E159" si="6">IF(D102&gt;$J$97,$J$97,D102)</f>
        <v>0</v>
      </c>
      <c r="F102" s="789">
        <f t="shared" si="0"/>
        <v>0</v>
      </c>
      <c r="G102" s="736">
        <f t="shared" si="5"/>
        <v>0</v>
      </c>
      <c r="H102" s="794">
        <f>+J95*G102+E102</f>
        <v>0</v>
      </c>
      <c r="I102" s="795">
        <f>+J96*G102+E102</f>
        <v>0</v>
      </c>
      <c r="J102" s="792">
        <f t="shared" ref="J102:J159" si="7">+I102-H102</f>
        <v>0</v>
      </c>
      <c r="K102" s="792"/>
      <c r="L102" s="812"/>
      <c r="M102" s="792">
        <f t="shared" si="1"/>
        <v>0</v>
      </c>
      <c r="N102" s="812"/>
      <c r="O102" s="792">
        <f t="shared" si="2"/>
        <v>0</v>
      </c>
      <c r="P102" s="792">
        <f t="shared" si="3"/>
        <v>0</v>
      </c>
    </row>
    <row r="103" spans="2:16">
      <c r="C103" s="788" t="str">
        <f>IF(D94="","-",+C102+1)</f>
        <v>-</v>
      </c>
      <c r="D103" s="736">
        <f t="shared" si="4"/>
        <v>0</v>
      </c>
      <c r="E103" s="789">
        <f t="shared" si="6"/>
        <v>0</v>
      </c>
      <c r="F103" s="789">
        <f t="shared" si="0"/>
        <v>0</v>
      </c>
      <c r="G103" s="736">
        <f t="shared" si="5"/>
        <v>0</v>
      </c>
      <c r="H103" s="794">
        <f>+J95*G103+E103</f>
        <v>0</v>
      </c>
      <c r="I103" s="795">
        <f>+J96*G103+E103</f>
        <v>0</v>
      </c>
      <c r="J103" s="792">
        <f t="shared" si="7"/>
        <v>0</v>
      </c>
      <c r="K103" s="792"/>
      <c r="L103" s="812"/>
      <c r="M103" s="792">
        <f t="shared" si="1"/>
        <v>0</v>
      </c>
      <c r="N103" s="812"/>
      <c r="O103" s="792">
        <f t="shared" si="2"/>
        <v>0</v>
      </c>
      <c r="P103" s="792">
        <f t="shared" si="3"/>
        <v>0</v>
      </c>
    </row>
    <row r="104" spans="2:16">
      <c r="C104" s="788" t="str">
        <f>IF(D94="","-",+C103+1)</f>
        <v>-</v>
      </c>
      <c r="D104" s="736">
        <f t="shared" si="4"/>
        <v>0</v>
      </c>
      <c r="E104" s="789">
        <f t="shared" si="6"/>
        <v>0</v>
      </c>
      <c r="F104" s="789">
        <f t="shared" si="0"/>
        <v>0</v>
      </c>
      <c r="G104" s="736">
        <f t="shared" si="5"/>
        <v>0</v>
      </c>
      <c r="H104" s="794">
        <f>+J95*G104+E104</f>
        <v>0</v>
      </c>
      <c r="I104" s="795">
        <f>+J96*G104+E104</f>
        <v>0</v>
      </c>
      <c r="J104" s="792">
        <f t="shared" si="7"/>
        <v>0</v>
      </c>
      <c r="K104" s="792"/>
      <c r="L104" s="812"/>
      <c r="M104" s="792">
        <f t="shared" si="1"/>
        <v>0</v>
      </c>
      <c r="N104" s="812"/>
      <c r="O104" s="792">
        <f t="shared" si="2"/>
        <v>0</v>
      </c>
      <c r="P104" s="792">
        <f t="shared" si="3"/>
        <v>0</v>
      </c>
    </row>
    <row r="105" spans="2:16">
      <c r="C105" s="788" t="str">
        <f>IF(D94="","-",+C104+1)</f>
        <v>-</v>
      </c>
      <c r="D105" s="736">
        <f t="shared" si="4"/>
        <v>0</v>
      </c>
      <c r="E105" s="789">
        <f t="shared" si="6"/>
        <v>0</v>
      </c>
      <c r="F105" s="789">
        <f t="shared" si="0"/>
        <v>0</v>
      </c>
      <c r="G105" s="736">
        <f t="shared" si="5"/>
        <v>0</v>
      </c>
      <c r="H105" s="794">
        <f>+J95*G105+E105</f>
        <v>0</v>
      </c>
      <c r="I105" s="795">
        <f>+J96*G105+E105</f>
        <v>0</v>
      </c>
      <c r="J105" s="792">
        <f t="shared" si="7"/>
        <v>0</v>
      </c>
      <c r="K105" s="792"/>
      <c r="L105" s="812"/>
      <c r="M105" s="792">
        <f t="shared" si="1"/>
        <v>0</v>
      </c>
      <c r="N105" s="812"/>
      <c r="O105" s="792">
        <f t="shared" si="2"/>
        <v>0</v>
      </c>
      <c r="P105" s="792">
        <f t="shared" si="3"/>
        <v>0</v>
      </c>
    </row>
    <row r="106" spans="2:16">
      <c r="C106" s="788" t="str">
        <f>IF(D94="","-",+C105+1)</f>
        <v>-</v>
      </c>
      <c r="D106" s="736">
        <f t="shared" si="4"/>
        <v>0</v>
      </c>
      <c r="E106" s="789">
        <f t="shared" si="6"/>
        <v>0</v>
      </c>
      <c r="F106" s="789">
        <f t="shared" si="0"/>
        <v>0</v>
      </c>
      <c r="G106" s="736">
        <f t="shared" si="5"/>
        <v>0</v>
      </c>
      <c r="H106" s="794">
        <f>+J95*G106+E106</f>
        <v>0</v>
      </c>
      <c r="I106" s="795">
        <f>+J96*G106+E106</f>
        <v>0</v>
      </c>
      <c r="J106" s="792">
        <f t="shared" si="7"/>
        <v>0</v>
      </c>
      <c r="K106" s="792"/>
      <c r="L106" s="812"/>
      <c r="M106" s="792">
        <f t="shared" si="1"/>
        <v>0</v>
      </c>
      <c r="N106" s="812"/>
      <c r="O106" s="792">
        <f t="shared" si="2"/>
        <v>0</v>
      </c>
      <c r="P106" s="792">
        <f t="shared" si="3"/>
        <v>0</v>
      </c>
    </row>
    <row r="107" spans="2:16">
      <c r="C107" s="788" t="str">
        <f>IF(D94="","-",+C106+1)</f>
        <v>-</v>
      </c>
      <c r="D107" s="736">
        <f t="shared" si="4"/>
        <v>0</v>
      </c>
      <c r="E107" s="789">
        <f t="shared" si="6"/>
        <v>0</v>
      </c>
      <c r="F107" s="789">
        <f t="shared" si="0"/>
        <v>0</v>
      </c>
      <c r="G107" s="736">
        <f t="shared" si="5"/>
        <v>0</v>
      </c>
      <c r="H107" s="794">
        <f>+J95*G107+E107</f>
        <v>0</v>
      </c>
      <c r="I107" s="795">
        <f>+J96*G107+E107</f>
        <v>0</v>
      </c>
      <c r="J107" s="792">
        <f t="shared" si="7"/>
        <v>0</v>
      </c>
      <c r="K107" s="792"/>
      <c r="L107" s="812"/>
      <c r="M107" s="792">
        <f t="shared" si="1"/>
        <v>0</v>
      </c>
      <c r="N107" s="812"/>
      <c r="O107" s="792">
        <f t="shared" si="2"/>
        <v>0</v>
      </c>
      <c r="P107" s="792">
        <f t="shared" si="3"/>
        <v>0</v>
      </c>
    </row>
    <row r="108" spans="2:16">
      <c r="C108" s="788" t="str">
        <f>IF(D94="","-",+C107+1)</f>
        <v>-</v>
      </c>
      <c r="D108" s="736">
        <f t="shared" si="4"/>
        <v>0</v>
      </c>
      <c r="E108" s="789">
        <f t="shared" si="6"/>
        <v>0</v>
      </c>
      <c r="F108" s="789">
        <f t="shared" si="0"/>
        <v>0</v>
      </c>
      <c r="G108" s="736">
        <f t="shared" si="5"/>
        <v>0</v>
      </c>
      <c r="H108" s="794">
        <f>+J95*G108+E108</f>
        <v>0</v>
      </c>
      <c r="I108" s="795">
        <f>+J96*G108+E108</f>
        <v>0</v>
      </c>
      <c r="J108" s="792">
        <f t="shared" si="7"/>
        <v>0</v>
      </c>
      <c r="K108" s="792"/>
      <c r="L108" s="812"/>
      <c r="M108" s="792">
        <f t="shared" si="1"/>
        <v>0</v>
      </c>
      <c r="N108" s="812"/>
      <c r="O108" s="792">
        <f t="shared" si="2"/>
        <v>0</v>
      </c>
      <c r="P108" s="792">
        <f t="shared" si="3"/>
        <v>0</v>
      </c>
    </row>
    <row r="109" spans="2:16">
      <c r="C109" s="788" t="str">
        <f>IF(D94="","-",+C108+1)</f>
        <v>-</v>
      </c>
      <c r="D109" s="736">
        <f t="shared" si="4"/>
        <v>0</v>
      </c>
      <c r="E109" s="789">
        <f t="shared" si="6"/>
        <v>0</v>
      </c>
      <c r="F109" s="789">
        <f t="shared" si="0"/>
        <v>0</v>
      </c>
      <c r="G109" s="736">
        <f t="shared" si="5"/>
        <v>0</v>
      </c>
      <c r="H109" s="794">
        <f>+J95*G109+E109</f>
        <v>0</v>
      </c>
      <c r="I109" s="795">
        <f>+J96*G109+E109</f>
        <v>0</v>
      </c>
      <c r="J109" s="792">
        <f t="shared" si="7"/>
        <v>0</v>
      </c>
      <c r="K109" s="792"/>
      <c r="L109" s="812"/>
      <c r="M109" s="792">
        <f t="shared" si="1"/>
        <v>0</v>
      </c>
      <c r="N109" s="812"/>
      <c r="O109" s="792">
        <f t="shared" si="2"/>
        <v>0</v>
      </c>
      <c r="P109" s="792">
        <f t="shared" si="3"/>
        <v>0</v>
      </c>
    </row>
    <row r="110" spans="2:16">
      <c r="C110" s="788" t="str">
        <f>IF(D94="","-",+C109+1)</f>
        <v>-</v>
      </c>
      <c r="D110" s="736">
        <f t="shared" si="4"/>
        <v>0</v>
      </c>
      <c r="E110" s="789">
        <f t="shared" si="6"/>
        <v>0</v>
      </c>
      <c r="F110" s="789">
        <f t="shared" si="0"/>
        <v>0</v>
      </c>
      <c r="G110" s="736">
        <f t="shared" si="5"/>
        <v>0</v>
      </c>
      <c r="H110" s="794">
        <f>+J95*G110+E110</f>
        <v>0</v>
      </c>
      <c r="I110" s="795">
        <f>+J96*G110+E110</f>
        <v>0</v>
      </c>
      <c r="J110" s="792">
        <f t="shared" si="7"/>
        <v>0</v>
      </c>
      <c r="K110" s="792"/>
      <c r="L110" s="812"/>
      <c r="M110" s="792">
        <f t="shared" si="1"/>
        <v>0</v>
      </c>
      <c r="N110" s="812"/>
      <c r="O110" s="792">
        <f t="shared" si="2"/>
        <v>0</v>
      </c>
      <c r="P110" s="792">
        <f t="shared" si="3"/>
        <v>0</v>
      </c>
    </row>
    <row r="111" spans="2:16">
      <c r="C111" s="788" t="str">
        <f>IF(D94="","-",+C110+1)</f>
        <v>-</v>
      </c>
      <c r="D111" s="736">
        <f t="shared" si="4"/>
        <v>0</v>
      </c>
      <c r="E111" s="789">
        <f t="shared" si="6"/>
        <v>0</v>
      </c>
      <c r="F111" s="789">
        <f t="shared" si="0"/>
        <v>0</v>
      </c>
      <c r="G111" s="736">
        <f t="shared" si="5"/>
        <v>0</v>
      </c>
      <c r="H111" s="794">
        <f>+J95*G111+E111</f>
        <v>0</v>
      </c>
      <c r="I111" s="795">
        <f>+J96*G111+E111</f>
        <v>0</v>
      </c>
      <c r="J111" s="792">
        <f t="shared" si="7"/>
        <v>0</v>
      </c>
      <c r="K111" s="792"/>
      <c r="L111" s="812"/>
      <c r="M111" s="792">
        <f t="shared" si="1"/>
        <v>0</v>
      </c>
      <c r="N111" s="812"/>
      <c r="O111" s="792">
        <f t="shared" si="2"/>
        <v>0</v>
      </c>
      <c r="P111" s="792">
        <f t="shared" si="3"/>
        <v>0</v>
      </c>
    </row>
    <row r="112" spans="2:16">
      <c r="C112" s="788" t="str">
        <f>IF(D94="","-",+C111+1)</f>
        <v>-</v>
      </c>
      <c r="D112" s="736">
        <f t="shared" si="4"/>
        <v>0</v>
      </c>
      <c r="E112" s="789">
        <f t="shared" si="6"/>
        <v>0</v>
      </c>
      <c r="F112" s="789">
        <f t="shared" si="0"/>
        <v>0</v>
      </c>
      <c r="G112" s="736">
        <f t="shared" si="5"/>
        <v>0</v>
      </c>
      <c r="H112" s="794">
        <f>+J95*G112+E112</f>
        <v>0</v>
      </c>
      <c r="I112" s="795">
        <f>+J96*G112+E112</f>
        <v>0</v>
      </c>
      <c r="J112" s="792">
        <f t="shared" si="7"/>
        <v>0</v>
      </c>
      <c r="K112" s="792"/>
      <c r="L112" s="812"/>
      <c r="M112" s="792">
        <f t="shared" si="1"/>
        <v>0</v>
      </c>
      <c r="N112" s="812"/>
      <c r="O112" s="792">
        <f t="shared" si="2"/>
        <v>0</v>
      </c>
      <c r="P112" s="792">
        <f t="shared" si="3"/>
        <v>0</v>
      </c>
    </row>
    <row r="113" spans="3:16">
      <c r="C113" s="788" t="str">
        <f>IF(D94="","-",+C112+1)</f>
        <v>-</v>
      </c>
      <c r="D113" s="736">
        <f t="shared" si="4"/>
        <v>0</v>
      </c>
      <c r="E113" s="789">
        <f t="shared" si="6"/>
        <v>0</v>
      </c>
      <c r="F113" s="789">
        <f t="shared" si="0"/>
        <v>0</v>
      </c>
      <c r="G113" s="736">
        <f t="shared" si="5"/>
        <v>0</v>
      </c>
      <c r="H113" s="794">
        <f>+J95*G113+E113</f>
        <v>0</v>
      </c>
      <c r="I113" s="795">
        <f>+J96*G113+E113</f>
        <v>0</v>
      </c>
      <c r="J113" s="792">
        <f t="shared" si="7"/>
        <v>0</v>
      </c>
      <c r="K113" s="792"/>
      <c r="L113" s="812"/>
      <c r="M113" s="792">
        <f t="shared" si="1"/>
        <v>0</v>
      </c>
      <c r="N113" s="812"/>
      <c r="O113" s="792">
        <f t="shared" si="2"/>
        <v>0</v>
      </c>
      <c r="P113" s="792">
        <f t="shared" si="3"/>
        <v>0</v>
      </c>
    </row>
    <row r="114" spans="3:16">
      <c r="C114" s="788" t="str">
        <f>IF(D94="","-",+C113+1)</f>
        <v>-</v>
      </c>
      <c r="D114" s="736">
        <f t="shared" si="4"/>
        <v>0</v>
      </c>
      <c r="E114" s="789">
        <f t="shared" si="6"/>
        <v>0</v>
      </c>
      <c r="F114" s="789">
        <f t="shared" si="0"/>
        <v>0</v>
      </c>
      <c r="G114" s="736">
        <f t="shared" si="5"/>
        <v>0</v>
      </c>
      <c r="H114" s="794">
        <f>+J95*G114+E114</f>
        <v>0</v>
      </c>
      <c r="I114" s="795">
        <f>+J96*G114+E114</f>
        <v>0</v>
      </c>
      <c r="J114" s="792">
        <f t="shared" si="7"/>
        <v>0</v>
      </c>
      <c r="K114" s="792"/>
      <c r="L114" s="812"/>
      <c r="M114" s="792">
        <f t="shared" si="1"/>
        <v>0</v>
      </c>
      <c r="N114" s="812"/>
      <c r="O114" s="792">
        <f t="shared" si="2"/>
        <v>0</v>
      </c>
      <c r="P114" s="792">
        <f t="shared" si="3"/>
        <v>0</v>
      </c>
    </row>
    <row r="115" spans="3:16">
      <c r="C115" s="788" t="str">
        <f>IF(D94="","-",+C114+1)</f>
        <v>-</v>
      </c>
      <c r="D115" s="736">
        <f t="shared" si="4"/>
        <v>0</v>
      </c>
      <c r="E115" s="789">
        <f t="shared" si="6"/>
        <v>0</v>
      </c>
      <c r="F115" s="789">
        <f t="shared" si="0"/>
        <v>0</v>
      </c>
      <c r="G115" s="736">
        <f t="shared" si="5"/>
        <v>0</v>
      </c>
      <c r="H115" s="794">
        <f>+J95*G115+E115</f>
        <v>0</v>
      </c>
      <c r="I115" s="795">
        <f>+J96*G115+E115</f>
        <v>0</v>
      </c>
      <c r="J115" s="792">
        <f t="shared" si="7"/>
        <v>0</v>
      </c>
      <c r="K115" s="792"/>
      <c r="L115" s="812"/>
      <c r="M115" s="792">
        <f t="shared" si="1"/>
        <v>0</v>
      </c>
      <c r="N115" s="812"/>
      <c r="O115" s="792">
        <f t="shared" si="2"/>
        <v>0</v>
      </c>
      <c r="P115" s="792">
        <f t="shared" si="3"/>
        <v>0</v>
      </c>
    </row>
    <row r="116" spans="3:16">
      <c r="C116" s="788" t="str">
        <f>IF(D94="","-",+C115+1)</f>
        <v>-</v>
      </c>
      <c r="D116" s="736">
        <f t="shared" si="4"/>
        <v>0</v>
      </c>
      <c r="E116" s="789">
        <f t="shared" si="6"/>
        <v>0</v>
      </c>
      <c r="F116" s="789">
        <f t="shared" si="0"/>
        <v>0</v>
      </c>
      <c r="G116" s="736">
        <f t="shared" si="5"/>
        <v>0</v>
      </c>
      <c r="H116" s="794">
        <f>+J95*G116+E116</f>
        <v>0</v>
      </c>
      <c r="I116" s="795">
        <f>+J96*G116+E116</f>
        <v>0</v>
      </c>
      <c r="J116" s="792">
        <f t="shared" si="7"/>
        <v>0</v>
      </c>
      <c r="K116" s="792"/>
      <c r="L116" s="812"/>
      <c r="M116" s="792">
        <f t="shared" si="1"/>
        <v>0</v>
      </c>
      <c r="N116" s="812"/>
      <c r="O116" s="792">
        <f t="shared" si="2"/>
        <v>0</v>
      </c>
      <c r="P116" s="792">
        <f t="shared" si="3"/>
        <v>0</v>
      </c>
    </row>
    <row r="117" spans="3:16">
      <c r="C117" s="788" t="str">
        <f>IF(D94="","-",+C116+1)</f>
        <v>-</v>
      </c>
      <c r="D117" s="736">
        <f t="shared" si="4"/>
        <v>0</v>
      </c>
      <c r="E117" s="789">
        <f t="shared" si="6"/>
        <v>0</v>
      </c>
      <c r="F117" s="789">
        <f t="shared" si="0"/>
        <v>0</v>
      </c>
      <c r="G117" s="736">
        <f t="shared" si="5"/>
        <v>0</v>
      </c>
      <c r="H117" s="794">
        <f>+J95*G117+E117</f>
        <v>0</v>
      </c>
      <c r="I117" s="795">
        <f>+J96*G117+E117</f>
        <v>0</v>
      </c>
      <c r="J117" s="792">
        <f t="shared" si="7"/>
        <v>0</v>
      </c>
      <c r="K117" s="792"/>
      <c r="L117" s="812"/>
      <c r="M117" s="792">
        <f t="shared" si="1"/>
        <v>0</v>
      </c>
      <c r="N117" s="812"/>
      <c r="O117" s="792">
        <f t="shared" si="2"/>
        <v>0</v>
      </c>
      <c r="P117" s="792">
        <f t="shared" si="3"/>
        <v>0</v>
      </c>
    </row>
    <row r="118" spans="3:16">
      <c r="C118" s="788" t="str">
        <f>IF(D94="","-",+C117+1)</f>
        <v>-</v>
      </c>
      <c r="D118" s="736">
        <f t="shared" si="4"/>
        <v>0</v>
      </c>
      <c r="E118" s="789">
        <f t="shared" si="6"/>
        <v>0</v>
      </c>
      <c r="F118" s="789">
        <f t="shared" si="0"/>
        <v>0</v>
      </c>
      <c r="G118" s="736">
        <f t="shared" si="5"/>
        <v>0</v>
      </c>
      <c r="H118" s="794">
        <f>+J95*G118+E118</f>
        <v>0</v>
      </c>
      <c r="I118" s="795">
        <f>+J96*G118+E118</f>
        <v>0</v>
      </c>
      <c r="J118" s="792">
        <f t="shared" si="7"/>
        <v>0</v>
      </c>
      <c r="K118" s="792"/>
      <c r="L118" s="812"/>
      <c r="M118" s="792">
        <f t="shared" si="1"/>
        <v>0</v>
      </c>
      <c r="N118" s="812"/>
      <c r="O118" s="792">
        <f t="shared" si="2"/>
        <v>0</v>
      </c>
      <c r="P118" s="792">
        <f t="shared" si="3"/>
        <v>0</v>
      </c>
    </row>
    <row r="119" spans="3:16">
      <c r="C119" s="788" t="str">
        <f>IF(D94="","-",+C118+1)</f>
        <v>-</v>
      </c>
      <c r="D119" s="736">
        <f t="shared" si="4"/>
        <v>0</v>
      </c>
      <c r="E119" s="789">
        <f t="shared" si="6"/>
        <v>0</v>
      </c>
      <c r="F119" s="789">
        <f t="shared" si="0"/>
        <v>0</v>
      </c>
      <c r="G119" s="736">
        <f t="shared" si="5"/>
        <v>0</v>
      </c>
      <c r="H119" s="794">
        <f>+J95*G119+E119</f>
        <v>0</v>
      </c>
      <c r="I119" s="795">
        <f>+J96*G119+E119</f>
        <v>0</v>
      </c>
      <c r="J119" s="792">
        <f t="shared" si="7"/>
        <v>0</v>
      </c>
      <c r="K119" s="792"/>
      <c r="L119" s="812"/>
      <c r="M119" s="792">
        <f t="shared" si="1"/>
        <v>0</v>
      </c>
      <c r="N119" s="812"/>
      <c r="O119" s="792">
        <f t="shared" si="2"/>
        <v>0</v>
      </c>
      <c r="P119" s="792">
        <f t="shared" si="3"/>
        <v>0</v>
      </c>
    </row>
    <row r="120" spans="3:16">
      <c r="C120" s="788" t="str">
        <f>IF(D94="","-",+C119+1)</f>
        <v>-</v>
      </c>
      <c r="D120" s="736">
        <f t="shared" si="4"/>
        <v>0</v>
      </c>
      <c r="E120" s="789">
        <f t="shared" si="6"/>
        <v>0</v>
      </c>
      <c r="F120" s="789">
        <f t="shared" si="0"/>
        <v>0</v>
      </c>
      <c r="G120" s="736">
        <f t="shared" si="5"/>
        <v>0</v>
      </c>
      <c r="H120" s="794">
        <f>+J95*G120+E120</f>
        <v>0</v>
      </c>
      <c r="I120" s="795">
        <f>+J96*G120+E120</f>
        <v>0</v>
      </c>
      <c r="J120" s="792">
        <f t="shared" si="7"/>
        <v>0</v>
      </c>
      <c r="K120" s="792"/>
      <c r="L120" s="812"/>
      <c r="M120" s="792">
        <f t="shared" si="1"/>
        <v>0</v>
      </c>
      <c r="N120" s="812"/>
      <c r="O120" s="792">
        <f t="shared" si="2"/>
        <v>0</v>
      </c>
      <c r="P120" s="792">
        <f t="shared" si="3"/>
        <v>0</v>
      </c>
    </row>
    <row r="121" spans="3:16">
      <c r="C121" s="788" t="str">
        <f>IF(D94="","-",+C120+1)</f>
        <v>-</v>
      </c>
      <c r="D121" s="736">
        <f t="shared" si="4"/>
        <v>0</v>
      </c>
      <c r="E121" s="789">
        <f t="shared" si="6"/>
        <v>0</v>
      </c>
      <c r="F121" s="789">
        <f t="shared" si="0"/>
        <v>0</v>
      </c>
      <c r="G121" s="736">
        <f t="shared" si="5"/>
        <v>0</v>
      </c>
      <c r="H121" s="794">
        <f>+J95*G121+E121</f>
        <v>0</v>
      </c>
      <c r="I121" s="795">
        <f>+J96*G121+E121</f>
        <v>0</v>
      </c>
      <c r="J121" s="792">
        <f t="shared" si="7"/>
        <v>0</v>
      </c>
      <c r="K121" s="792"/>
      <c r="L121" s="812"/>
      <c r="M121" s="792">
        <f t="shared" si="1"/>
        <v>0</v>
      </c>
      <c r="N121" s="812"/>
      <c r="O121" s="792">
        <f t="shared" si="2"/>
        <v>0</v>
      </c>
      <c r="P121" s="792">
        <f t="shared" si="3"/>
        <v>0</v>
      </c>
    </row>
    <row r="122" spans="3:16">
      <c r="C122" s="788" t="str">
        <f>IF(D94="","-",+C121+1)</f>
        <v>-</v>
      </c>
      <c r="D122" s="736">
        <f t="shared" si="4"/>
        <v>0</v>
      </c>
      <c r="E122" s="789">
        <f t="shared" si="6"/>
        <v>0</v>
      </c>
      <c r="F122" s="789">
        <f t="shared" si="0"/>
        <v>0</v>
      </c>
      <c r="G122" s="736">
        <f t="shared" si="5"/>
        <v>0</v>
      </c>
      <c r="H122" s="794">
        <f>+J95*G122+E122</f>
        <v>0</v>
      </c>
      <c r="I122" s="795">
        <f>+J96*G122+E122</f>
        <v>0</v>
      </c>
      <c r="J122" s="792">
        <f t="shared" si="7"/>
        <v>0</v>
      </c>
      <c r="K122" s="792"/>
      <c r="L122" s="812"/>
      <c r="M122" s="792">
        <f t="shared" si="1"/>
        <v>0</v>
      </c>
      <c r="N122" s="812"/>
      <c r="O122" s="792">
        <f t="shared" si="2"/>
        <v>0</v>
      </c>
      <c r="P122" s="792">
        <f t="shared" si="3"/>
        <v>0</v>
      </c>
    </row>
    <row r="123" spans="3:16">
      <c r="C123" s="788" t="str">
        <f>IF(D94="","-",+C122+1)</f>
        <v>-</v>
      </c>
      <c r="D123" s="736">
        <f t="shared" si="4"/>
        <v>0</v>
      </c>
      <c r="E123" s="789">
        <f t="shared" si="6"/>
        <v>0</v>
      </c>
      <c r="F123" s="789">
        <f t="shared" si="0"/>
        <v>0</v>
      </c>
      <c r="G123" s="736">
        <f t="shared" si="5"/>
        <v>0</v>
      </c>
      <c r="H123" s="794">
        <f>+J95*G123+E123</f>
        <v>0</v>
      </c>
      <c r="I123" s="795">
        <f>+J96*G123+E123</f>
        <v>0</v>
      </c>
      <c r="J123" s="792">
        <f t="shared" si="7"/>
        <v>0</v>
      </c>
      <c r="K123" s="792"/>
      <c r="L123" s="812"/>
      <c r="M123" s="792">
        <f t="shared" si="1"/>
        <v>0</v>
      </c>
      <c r="N123" s="812"/>
      <c r="O123" s="792">
        <f t="shared" si="2"/>
        <v>0</v>
      </c>
      <c r="P123" s="792">
        <f t="shared" si="3"/>
        <v>0</v>
      </c>
    </row>
    <row r="124" spans="3:16">
      <c r="C124" s="788" t="str">
        <f>IF(D94="","-",+C123+1)</f>
        <v>-</v>
      </c>
      <c r="D124" s="736">
        <f t="shared" si="4"/>
        <v>0</v>
      </c>
      <c r="E124" s="789">
        <f t="shared" si="6"/>
        <v>0</v>
      </c>
      <c r="F124" s="789">
        <f t="shared" si="0"/>
        <v>0</v>
      </c>
      <c r="G124" s="736">
        <f t="shared" si="5"/>
        <v>0</v>
      </c>
      <c r="H124" s="794">
        <f>+J95*G124+E124</f>
        <v>0</v>
      </c>
      <c r="I124" s="795">
        <f>+J96*G124+E124</f>
        <v>0</v>
      </c>
      <c r="J124" s="792">
        <f t="shared" si="7"/>
        <v>0</v>
      </c>
      <c r="K124" s="792"/>
      <c r="L124" s="812"/>
      <c r="M124" s="792">
        <f t="shared" si="1"/>
        <v>0</v>
      </c>
      <c r="N124" s="812"/>
      <c r="O124" s="792">
        <f t="shared" si="2"/>
        <v>0</v>
      </c>
      <c r="P124" s="792">
        <f t="shared" si="3"/>
        <v>0</v>
      </c>
    </row>
    <row r="125" spans="3:16">
      <c r="C125" s="788" t="str">
        <f>IF(D94="","-",+C124+1)</f>
        <v>-</v>
      </c>
      <c r="D125" s="736">
        <f t="shared" si="4"/>
        <v>0</v>
      </c>
      <c r="E125" s="789">
        <f t="shared" si="6"/>
        <v>0</v>
      </c>
      <c r="F125" s="789">
        <f t="shared" si="0"/>
        <v>0</v>
      </c>
      <c r="G125" s="736">
        <f t="shared" si="5"/>
        <v>0</v>
      </c>
      <c r="H125" s="794">
        <f>+J95*G125+E125</f>
        <v>0</v>
      </c>
      <c r="I125" s="795">
        <f>+J96*G125+E125</f>
        <v>0</v>
      </c>
      <c r="J125" s="792">
        <f t="shared" si="7"/>
        <v>0</v>
      </c>
      <c r="K125" s="792"/>
      <c r="L125" s="812"/>
      <c r="M125" s="792">
        <f t="shared" si="1"/>
        <v>0</v>
      </c>
      <c r="N125" s="812"/>
      <c r="O125" s="792">
        <f t="shared" si="2"/>
        <v>0</v>
      </c>
      <c r="P125" s="792">
        <f t="shared" si="3"/>
        <v>0</v>
      </c>
    </row>
    <row r="126" spans="3:16">
      <c r="C126" s="788" t="str">
        <f>IF(D94="","-",+C125+1)</f>
        <v>-</v>
      </c>
      <c r="D126" s="736">
        <f t="shared" si="4"/>
        <v>0</v>
      </c>
      <c r="E126" s="789">
        <f t="shared" si="6"/>
        <v>0</v>
      </c>
      <c r="F126" s="789">
        <f t="shared" si="0"/>
        <v>0</v>
      </c>
      <c r="G126" s="736">
        <f t="shared" si="5"/>
        <v>0</v>
      </c>
      <c r="H126" s="794">
        <f>+J95*G126+E126</f>
        <v>0</v>
      </c>
      <c r="I126" s="795">
        <f>+J96*G126+E126</f>
        <v>0</v>
      </c>
      <c r="J126" s="792">
        <f t="shared" si="7"/>
        <v>0</v>
      </c>
      <c r="K126" s="792"/>
      <c r="L126" s="812"/>
      <c r="M126" s="792">
        <f t="shared" si="1"/>
        <v>0</v>
      </c>
      <c r="N126" s="812"/>
      <c r="O126" s="792">
        <f t="shared" si="2"/>
        <v>0</v>
      </c>
      <c r="P126" s="792">
        <f t="shared" si="3"/>
        <v>0</v>
      </c>
    </row>
    <row r="127" spans="3:16">
      <c r="C127" s="788" t="str">
        <f>IF(D94="","-",+C126+1)</f>
        <v>-</v>
      </c>
      <c r="D127" s="736">
        <f t="shared" si="4"/>
        <v>0</v>
      </c>
      <c r="E127" s="789">
        <f t="shared" si="6"/>
        <v>0</v>
      </c>
      <c r="F127" s="789">
        <f t="shared" si="0"/>
        <v>0</v>
      </c>
      <c r="G127" s="736">
        <f t="shared" si="5"/>
        <v>0</v>
      </c>
      <c r="H127" s="794">
        <f>+J95*G127+E127</f>
        <v>0</v>
      </c>
      <c r="I127" s="795">
        <f>+J96*G127+E127</f>
        <v>0</v>
      </c>
      <c r="J127" s="792">
        <f t="shared" si="7"/>
        <v>0</v>
      </c>
      <c r="K127" s="792"/>
      <c r="L127" s="812"/>
      <c r="M127" s="792">
        <f t="shared" si="1"/>
        <v>0</v>
      </c>
      <c r="N127" s="812"/>
      <c r="O127" s="792">
        <f t="shared" si="2"/>
        <v>0</v>
      </c>
      <c r="P127" s="792">
        <f t="shared" si="3"/>
        <v>0</v>
      </c>
    </row>
    <row r="128" spans="3:16">
      <c r="C128" s="788" t="str">
        <f>IF(D94="","-",+C127+1)</f>
        <v>-</v>
      </c>
      <c r="D128" s="736">
        <f t="shared" si="4"/>
        <v>0</v>
      </c>
      <c r="E128" s="789">
        <f t="shared" si="6"/>
        <v>0</v>
      </c>
      <c r="F128" s="789">
        <f t="shared" si="0"/>
        <v>0</v>
      </c>
      <c r="G128" s="736">
        <f t="shared" si="5"/>
        <v>0</v>
      </c>
      <c r="H128" s="794">
        <f>+J95*G128+E128</f>
        <v>0</v>
      </c>
      <c r="I128" s="795">
        <f>+J96*G128+E128</f>
        <v>0</v>
      </c>
      <c r="J128" s="792">
        <f t="shared" si="7"/>
        <v>0</v>
      </c>
      <c r="K128" s="792"/>
      <c r="L128" s="812"/>
      <c r="M128" s="792">
        <f t="shared" si="1"/>
        <v>0</v>
      </c>
      <c r="N128" s="812"/>
      <c r="O128" s="792">
        <f t="shared" si="2"/>
        <v>0</v>
      </c>
      <c r="P128" s="792">
        <f t="shared" si="3"/>
        <v>0</v>
      </c>
    </row>
    <row r="129" spans="3:16">
      <c r="C129" s="788" t="str">
        <f>IF(D94="","-",+C128+1)</f>
        <v>-</v>
      </c>
      <c r="D129" s="736">
        <f t="shared" si="4"/>
        <v>0</v>
      </c>
      <c r="E129" s="789">
        <f t="shared" si="6"/>
        <v>0</v>
      </c>
      <c r="F129" s="789">
        <f t="shared" si="0"/>
        <v>0</v>
      </c>
      <c r="G129" s="736">
        <f t="shared" si="5"/>
        <v>0</v>
      </c>
      <c r="H129" s="794">
        <f>+J95*G129+E129</f>
        <v>0</v>
      </c>
      <c r="I129" s="795">
        <f>+J96*G129+E129</f>
        <v>0</v>
      </c>
      <c r="J129" s="792">
        <f t="shared" si="7"/>
        <v>0</v>
      </c>
      <c r="K129" s="792"/>
      <c r="L129" s="812"/>
      <c r="M129" s="792">
        <f t="shared" si="1"/>
        <v>0</v>
      </c>
      <c r="N129" s="812"/>
      <c r="O129" s="792">
        <f t="shared" si="2"/>
        <v>0</v>
      </c>
      <c r="P129" s="792">
        <f t="shared" si="3"/>
        <v>0</v>
      </c>
    </row>
    <row r="130" spans="3:16">
      <c r="C130" s="788" t="str">
        <f>IF(D94="","-",+C129+1)</f>
        <v>-</v>
      </c>
      <c r="D130" s="736">
        <f t="shared" si="4"/>
        <v>0</v>
      </c>
      <c r="E130" s="789">
        <f t="shared" si="6"/>
        <v>0</v>
      </c>
      <c r="F130" s="789">
        <f t="shared" si="0"/>
        <v>0</v>
      </c>
      <c r="G130" s="736">
        <f t="shared" si="5"/>
        <v>0</v>
      </c>
      <c r="H130" s="794">
        <f>+J95*G130+E130</f>
        <v>0</v>
      </c>
      <c r="I130" s="795">
        <f>+J96*G130+E130</f>
        <v>0</v>
      </c>
      <c r="J130" s="792">
        <f t="shared" si="7"/>
        <v>0</v>
      </c>
      <c r="K130" s="792"/>
      <c r="L130" s="812"/>
      <c r="M130" s="792">
        <f t="shared" si="1"/>
        <v>0</v>
      </c>
      <c r="N130" s="812"/>
      <c r="O130" s="792">
        <f t="shared" si="2"/>
        <v>0</v>
      </c>
      <c r="P130" s="792">
        <f t="shared" si="3"/>
        <v>0</v>
      </c>
    </row>
    <row r="131" spans="3:16">
      <c r="C131" s="788" t="str">
        <f>IF(D94="","-",+C130+1)</f>
        <v>-</v>
      </c>
      <c r="D131" s="736">
        <f t="shared" si="4"/>
        <v>0</v>
      </c>
      <c r="E131" s="789">
        <f t="shared" si="6"/>
        <v>0</v>
      </c>
      <c r="F131" s="789">
        <f t="shared" si="0"/>
        <v>0</v>
      </c>
      <c r="G131" s="736">
        <f t="shared" si="5"/>
        <v>0</v>
      </c>
      <c r="H131" s="794">
        <f>+J95*G131+E131</f>
        <v>0</v>
      </c>
      <c r="I131" s="795">
        <f>+J96*G131+E131</f>
        <v>0</v>
      </c>
      <c r="J131" s="792">
        <f t="shared" si="7"/>
        <v>0</v>
      </c>
      <c r="K131" s="792"/>
      <c r="L131" s="812"/>
      <c r="M131" s="792">
        <f t="shared" si="1"/>
        <v>0</v>
      </c>
      <c r="N131" s="812"/>
      <c r="O131" s="792">
        <f t="shared" si="2"/>
        <v>0</v>
      </c>
      <c r="P131" s="792">
        <f t="shared" si="3"/>
        <v>0</v>
      </c>
    </row>
    <row r="132" spans="3:16">
      <c r="C132" s="788" t="str">
        <f>IF(D94="","-",+C131+1)</f>
        <v>-</v>
      </c>
      <c r="D132" s="736">
        <f t="shared" si="4"/>
        <v>0</v>
      </c>
      <c r="E132" s="789">
        <f t="shared" si="6"/>
        <v>0</v>
      </c>
      <c r="F132" s="789">
        <f t="shared" si="0"/>
        <v>0</v>
      </c>
      <c r="G132" s="736">
        <f t="shared" si="5"/>
        <v>0</v>
      </c>
      <c r="H132" s="794">
        <f>+J95*G132+E132</f>
        <v>0</v>
      </c>
      <c r="I132" s="795">
        <f>+J96*G132+E132</f>
        <v>0</v>
      </c>
      <c r="J132" s="792">
        <f t="shared" si="7"/>
        <v>0</v>
      </c>
      <c r="K132" s="792"/>
      <c r="L132" s="812"/>
      <c r="M132" s="792">
        <f t="shared" si="1"/>
        <v>0</v>
      </c>
      <c r="N132" s="812"/>
      <c r="O132" s="792">
        <f t="shared" si="2"/>
        <v>0</v>
      </c>
      <c r="P132" s="792">
        <f t="shared" si="3"/>
        <v>0</v>
      </c>
    </row>
    <row r="133" spans="3:16">
      <c r="C133" s="788" t="str">
        <f>IF(D94="","-",+C132+1)</f>
        <v>-</v>
      </c>
      <c r="D133" s="736">
        <f t="shared" si="4"/>
        <v>0</v>
      </c>
      <c r="E133" s="789">
        <f t="shared" si="6"/>
        <v>0</v>
      </c>
      <c r="F133" s="789">
        <f t="shared" si="0"/>
        <v>0</v>
      </c>
      <c r="G133" s="736">
        <f t="shared" si="5"/>
        <v>0</v>
      </c>
      <c r="H133" s="794">
        <f>+J95*G133+E133</f>
        <v>0</v>
      </c>
      <c r="I133" s="795">
        <f>+J96*G133+E133</f>
        <v>0</v>
      </c>
      <c r="J133" s="792">
        <f t="shared" si="7"/>
        <v>0</v>
      </c>
      <c r="K133" s="792"/>
      <c r="L133" s="812"/>
      <c r="M133" s="792">
        <f t="shared" si="1"/>
        <v>0</v>
      </c>
      <c r="N133" s="812"/>
      <c r="O133" s="792">
        <f t="shared" si="2"/>
        <v>0</v>
      </c>
      <c r="P133" s="792">
        <f t="shared" si="3"/>
        <v>0</v>
      </c>
    </row>
    <row r="134" spans="3:16">
      <c r="C134" s="788" t="str">
        <f>IF(D94="","-",+C133+1)</f>
        <v>-</v>
      </c>
      <c r="D134" s="736">
        <f t="shared" si="4"/>
        <v>0</v>
      </c>
      <c r="E134" s="789">
        <f t="shared" si="6"/>
        <v>0</v>
      </c>
      <c r="F134" s="789">
        <f t="shared" si="0"/>
        <v>0</v>
      </c>
      <c r="G134" s="736">
        <f t="shared" si="5"/>
        <v>0</v>
      </c>
      <c r="H134" s="794">
        <f>+J95*G134+E134</f>
        <v>0</v>
      </c>
      <c r="I134" s="795">
        <f>+J96*G134+E134</f>
        <v>0</v>
      </c>
      <c r="J134" s="792">
        <f t="shared" si="7"/>
        <v>0</v>
      </c>
      <c r="K134" s="792"/>
      <c r="L134" s="812"/>
      <c r="M134" s="792">
        <f t="shared" si="1"/>
        <v>0</v>
      </c>
      <c r="N134" s="812"/>
      <c r="O134" s="792">
        <f t="shared" si="2"/>
        <v>0</v>
      </c>
      <c r="P134" s="792">
        <f t="shared" si="3"/>
        <v>0</v>
      </c>
    </row>
    <row r="135" spans="3:16">
      <c r="C135" s="788" t="str">
        <f>IF(D94="","-",+C134+1)</f>
        <v>-</v>
      </c>
      <c r="D135" s="736">
        <f t="shared" si="4"/>
        <v>0</v>
      </c>
      <c r="E135" s="789">
        <f t="shared" si="6"/>
        <v>0</v>
      </c>
      <c r="F135" s="789">
        <f t="shared" si="0"/>
        <v>0</v>
      </c>
      <c r="G135" s="736">
        <f t="shared" si="5"/>
        <v>0</v>
      </c>
      <c r="H135" s="794">
        <f>+J95*G135+E135</f>
        <v>0</v>
      </c>
      <c r="I135" s="795">
        <f>+J96*G135+E135</f>
        <v>0</v>
      </c>
      <c r="J135" s="792">
        <f t="shared" si="7"/>
        <v>0</v>
      </c>
      <c r="K135" s="792"/>
      <c r="L135" s="812"/>
      <c r="M135" s="792">
        <f t="shared" si="1"/>
        <v>0</v>
      </c>
      <c r="N135" s="812"/>
      <c r="O135" s="792">
        <f t="shared" si="2"/>
        <v>0</v>
      </c>
      <c r="P135" s="792">
        <f t="shared" si="3"/>
        <v>0</v>
      </c>
    </row>
    <row r="136" spans="3:16">
      <c r="C136" s="788" t="str">
        <f>IF(D94="","-",+C135+1)</f>
        <v>-</v>
      </c>
      <c r="D136" s="736">
        <f t="shared" si="4"/>
        <v>0</v>
      </c>
      <c r="E136" s="789">
        <f t="shared" si="6"/>
        <v>0</v>
      </c>
      <c r="F136" s="789">
        <f t="shared" si="0"/>
        <v>0</v>
      </c>
      <c r="G136" s="736">
        <f t="shared" si="5"/>
        <v>0</v>
      </c>
      <c r="H136" s="794">
        <f>+J95*G136+E136</f>
        <v>0</v>
      </c>
      <c r="I136" s="795">
        <f>+J96*G136+E136</f>
        <v>0</v>
      </c>
      <c r="J136" s="792">
        <f t="shared" si="7"/>
        <v>0</v>
      </c>
      <c r="K136" s="792"/>
      <c r="L136" s="812"/>
      <c r="M136" s="792">
        <f t="shared" si="1"/>
        <v>0</v>
      </c>
      <c r="N136" s="812"/>
      <c r="O136" s="792">
        <f t="shared" si="2"/>
        <v>0</v>
      </c>
      <c r="P136" s="792">
        <f t="shared" si="3"/>
        <v>0</v>
      </c>
    </row>
    <row r="137" spans="3:16">
      <c r="C137" s="788" t="str">
        <f>IF(D94="","-",+C136+1)</f>
        <v>-</v>
      </c>
      <c r="D137" s="736">
        <f t="shared" si="4"/>
        <v>0</v>
      </c>
      <c r="E137" s="789">
        <f t="shared" si="6"/>
        <v>0</v>
      </c>
      <c r="F137" s="789">
        <f t="shared" si="0"/>
        <v>0</v>
      </c>
      <c r="G137" s="736">
        <f t="shared" si="5"/>
        <v>0</v>
      </c>
      <c r="H137" s="794">
        <f>+J95*G137+E137</f>
        <v>0</v>
      </c>
      <c r="I137" s="795">
        <f>+J96*G137+E137</f>
        <v>0</v>
      </c>
      <c r="J137" s="792">
        <f t="shared" si="7"/>
        <v>0</v>
      </c>
      <c r="K137" s="792"/>
      <c r="L137" s="812"/>
      <c r="M137" s="792">
        <f t="shared" si="1"/>
        <v>0</v>
      </c>
      <c r="N137" s="812"/>
      <c r="O137" s="792">
        <f t="shared" si="2"/>
        <v>0</v>
      </c>
      <c r="P137" s="792">
        <f t="shared" si="3"/>
        <v>0</v>
      </c>
    </row>
    <row r="138" spans="3:16">
      <c r="C138" s="788" t="str">
        <f>IF(D94="","-",+C137+1)</f>
        <v>-</v>
      </c>
      <c r="D138" s="736">
        <f t="shared" si="4"/>
        <v>0</v>
      </c>
      <c r="E138" s="789">
        <f t="shared" si="6"/>
        <v>0</v>
      </c>
      <c r="F138" s="789">
        <f t="shared" si="0"/>
        <v>0</v>
      </c>
      <c r="G138" s="736">
        <f t="shared" si="5"/>
        <v>0</v>
      </c>
      <c r="H138" s="794">
        <f>+J95*G138+E138</f>
        <v>0</v>
      </c>
      <c r="I138" s="795">
        <f>+J96*G138+E138</f>
        <v>0</v>
      </c>
      <c r="J138" s="792">
        <f t="shared" si="7"/>
        <v>0</v>
      </c>
      <c r="K138" s="792"/>
      <c r="L138" s="812"/>
      <c r="M138" s="792">
        <f t="shared" si="1"/>
        <v>0</v>
      </c>
      <c r="N138" s="812"/>
      <c r="O138" s="792">
        <f t="shared" si="2"/>
        <v>0</v>
      </c>
      <c r="P138" s="792">
        <f t="shared" si="3"/>
        <v>0</v>
      </c>
    </row>
    <row r="139" spans="3:16">
      <c r="C139" s="788" t="str">
        <f>IF(D94="","-",+C138+1)</f>
        <v>-</v>
      </c>
      <c r="D139" s="736">
        <f t="shared" si="4"/>
        <v>0</v>
      </c>
      <c r="E139" s="789">
        <f t="shared" si="6"/>
        <v>0</v>
      </c>
      <c r="F139" s="789">
        <f t="shared" si="0"/>
        <v>0</v>
      </c>
      <c r="G139" s="736">
        <f t="shared" si="5"/>
        <v>0</v>
      </c>
      <c r="H139" s="794">
        <f>+J95*G139+E139</f>
        <v>0</v>
      </c>
      <c r="I139" s="795">
        <f>+J96*G139+E139</f>
        <v>0</v>
      </c>
      <c r="J139" s="792">
        <f t="shared" si="7"/>
        <v>0</v>
      </c>
      <c r="K139" s="792"/>
      <c r="L139" s="812"/>
      <c r="M139" s="792">
        <f t="shared" si="1"/>
        <v>0</v>
      </c>
      <c r="N139" s="812"/>
      <c r="O139" s="792">
        <f t="shared" si="2"/>
        <v>0</v>
      </c>
      <c r="P139" s="792">
        <f t="shared" si="3"/>
        <v>0</v>
      </c>
    </row>
    <row r="140" spans="3:16">
      <c r="C140" s="788" t="str">
        <f>IF(D94="","-",+C139+1)</f>
        <v>-</v>
      </c>
      <c r="D140" s="736">
        <f t="shared" si="4"/>
        <v>0</v>
      </c>
      <c r="E140" s="789">
        <f t="shared" si="6"/>
        <v>0</v>
      </c>
      <c r="F140" s="789">
        <f t="shared" si="0"/>
        <v>0</v>
      </c>
      <c r="G140" s="736">
        <f t="shared" si="5"/>
        <v>0</v>
      </c>
      <c r="H140" s="794">
        <f>+J95*G140+E140</f>
        <v>0</v>
      </c>
      <c r="I140" s="795">
        <f>+J96*G140+E140</f>
        <v>0</v>
      </c>
      <c r="J140" s="792">
        <f t="shared" si="7"/>
        <v>0</v>
      </c>
      <c r="K140" s="792"/>
      <c r="L140" s="812"/>
      <c r="M140" s="792">
        <f t="shared" si="1"/>
        <v>0</v>
      </c>
      <c r="N140" s="812"/>
      <c r="O140" s="792">
        <f t="shared" si="2"/>
        <v>0</v>
      </c>
      <c r="P140" s="792">
        <f t="shared" si="3"/>
        <v>0</v>
      </c>
    </row>
    <row r="141" spans="3:16">
      <c r="C141" s="788" t="str">
        <f>IF(D94="","-",+C140+1)</f>
        <v>-</v>
      </c>
      <c r="D141" s="736">
        <f t="shared" si="4"/>
        <v>0</v>
      </c>
      <c r="E141" s="789">
        <f t="shared" si="6"/>
        <v>0</v>
      </c>
      <c r="F141" s="789">
        <f t="shared" si="0"/>
        <v>0</v>
      </c>
      <c r="G141" s="736">
        <f t="shared" si="5"/>
        <v>0</v>
      </c>
      <c r="H141" s="794">
        <f>+J95*G141+E141</f>
        <v>0</v>
      </c>
      <c r="I141" s="795">
        <f>+J96*G141+E141</f>
        <v>0</v>
      </c>
      <c r="J141" s="792">
        <f t="shared" si="7"/>
        <v>0</v>
      </c>
      <c r="K141" s="792"/>
      <c r="L141" s="812"/>
      <c r="M141" s="792">
        <f t="shared" si="1"/>
        <v>0</v>
      </c>
      <c r="N141" s="812"/>
      <c r="O141" s="792">
        <f t="shared" si="2"/>
        <v>0</v>
      </c>
      <c r="P141" s="792">
        <f t="shared" si="3"/>
        <v>0</v>
      </c>
    </row>
    <row r="142" spans="3:16">
      <c r="C142" s="788" t="str">
        <f>IF(D94="","-",+C141+1)</f>
        <v>-</v>
      </c>
      <c r="D142" s="736">
        <f t="shared" si="4"/>
        <v>0</v>
      </c>
      <c r="E142" s="789">
        <f t="shared" si="6"/>
        <v>0</v>
      </c>
      <c r="F142" s="789">
        <f t="shared" si="0"/>
        <v>0</v>
      </c>
      <c r="G142" s="736">
        <f t="shared" si="5"/>
        <v>0</v>
      </c>
      <c r="H142" s="794">
        <f>+J95*G142+E142</f>
        <v>0</v>
      </c>
      <c r="I142" s="795">
        <f>+J96*G142+E142</f>
        <v>0</v>
      </c>
      <c r="J142" s="792">
        <f t="shared" si="7"/>
        <v>0</v>
      </c>
      <c r="K142" s="792"/>
      <c r="L142" s="812"/>
      <c r="M142" s="792">
        <f t="shared" si="1"/>
        <v>0</v>
      </c>
      <c r="N142" s="812"/>
      <c r="O142" s="792">
        <f t="shared" si="2"/>
        <v>0</v>
      </c>
      <c r="P142" s="792">
        <f t="shared" si="3"/>
        <v>0</v>
      </c>
    </row>
    <row r="143" spans="3:16">
      <c r="C143" s="788" t="str">
        <f>IF(D94="","-",+C142+1)</f>
        <v>-</v>
      </c>
      <c r="D143" s="736">
        <f t="shared" si="4"/>
        <v>0</v>
      </c>
      <c r="E143" s="789">
        <f t="shared" si="6"/>
        <v>0</v>
      </c>
      <c r="F143" s="789">
        <f t="shared" si="0"/>
        <v>0</v>
      </c>
      <c r="G143" s="736">
        <f t="shared" si="5"/>
        <v>0</v>
      </c>
      <c r="H143" s="794">
        <f>+J95*G143+E143</f>
        <v>0</v>
      </c>
      <c r="I143" s="795">
        <f>+J96*G143+E143</f>
        <v>0</v>
      </c>
      <c r="J143" s="792">
        <f t="shared" si="7"/>
        <v>0</v>
      </c>
      <c r="K143" s="792"/>
      <c r="L143" s="812"/>
      <c r="M143" s="792">
        <f t="shared" si="1"/>
        <v>0</v>
      </c>
      <c r="N143" s="812"/>
      <c r="O143" s="792">
        <f t="shared" si="2"/>
        <v>0</v>
      </c>
      <c r="P143" s="792">
        <f t="shared" si="3"/>
        <v>0</v>
      </c>
    </row>
    <row r="144" spans="3:16">
      <c r="C144" s="788" t="str">
        <f>IF(D94="","-",+C143+1)</f>
        <v>-</v>
      </c>
      <c r="D144" s="736">
        <f t="shared" si="4"/>
        <v>0</v>
      </c>
      <c r="E144" s="789">
        <f t="shared" si="6"/>
        <v>0</v>
      </c>
      <c r="F144" s="789">
        <f t="shared" si="0"/>
        <v>0</v>
      </c>
      <c r="G144" s="736">
        <f t="shared" si="5"/>
        <v>0</v>
      </c>
      <c r="H144" s="794">
        <f>+J95*G144+E144</f>
        <v>0</v>
      </c>
      <c r="I144" s="795">
        <f>+J96*G144+E144</f>
        <v>0</v>
      </c>
      <c r="J144" s="792">
        <f t="shared" si="7"/>
        <v>0</v>
      </c>
      <c r="K144" s="792"/>
      <c r="L144" s="812"/>
      <c r="M144" s="792">
        <f t="shared" si="1"/>
        <v>0</v>
      </c>
      <c r="N144" s="812"/>
      <c r="O144" s="792">
        <f t="shared" si="2"/>
        <v>0</v>
      </c>
      <c r="P144" s="792">
        <f t="shared" si="3"/>
        <v>0</v>
      </c>
    </row>
    <row r="145" spans="3:16">
      <c r="C145" s="788" t="str">
        <f>IF(D94="","-",+C144+1)</f>
        <v>-</v>
      </c>
      <c r="D145" s="736">
        <f t="shared" si="4"/>
        <v>0</v>
      </c>
      <c r="E145" s="789">
        <f t="shared" si="6"/>
        <v>0</v>
      </c>
      <c r="F145" s="789">
        <f t="shared" si="0"/>
        <v>0</v>
      </c>
      <c r="G145" s="736">
        <f t="shared" si="5"/>
        <v>0</v>
      </c>
      <c r="H145" s="794">
        <f>+J95*G145+E145</f>
        <v>0</v>
      </c>
      <c r="I145" s="795">
        <f>+J96*G145+E145</f>
        <v>0</v>
      </c>
      <c r="J145" s="792">
        <f t="shared" si="7"/>
        <v>0</v>
      </c>
      <c r="K145" s="792"/>
      <c r="L145" s="812"/>
      <c r="M145" s="792">
        <f t="shared" si="1"/>
        <v>0</v>
      </c>
      <c r="N145" s="812"/>
      <c r="O145" s="792">
        <f t="shared" si="2"/>
        <v>0</v>
      </c>
      <c r="P145" s="792">
        <f t="shared" si="3"/>
        <v>0</v>
      </c>
    </row>
    <row r="146" spans="3:16">
      <c r="C146" s="788" t="str">
        <f>IF(D94="","-",+C145+1)</f>
        <v>-</v>
      </c>
      <c r="D146" s="736">
        <f t="shared" si="4"/>
        <v>0</v>
      </c>
      <c r="E146" s="789">
        <f t="shared" si="6"/>
        <v>0</v>
      </c>
      <c r="F146" s="789">
        <f t="shared" si="0"/>
        <v>0</v>
      </c>
      <c r="G146" s="736">
        <f t="shared" si="5"/>
        <v>0</v>
      </c>
      <c r="H146" s="794">
        <f>+J95*G146+E146</f>
        <v>0</v>
      </c>
      <c r="I146" s="795">
        <f>+J96*G146+E146</f>
        <v>0</v>
      </c>
      <c r="J146" s="792">
        <f t="shared" si="7"/>
        <v>0</v>
      </c>
      <c r="K146" s="792"/>
      <c r="L146" s="812"/>
      <c r="M146" s="792">
        <f t="shared" si="1"/>
        <v>0</v>
      </c>
      <c r="N146" s="812"/>
      <c r="O146" s="792">
        <f t="shared" si="2"/>
        <v>0</v>
      </c>
      <c r="P146" s="792">
        <f t="shared" si="3"/>
        <v>0</v>
      </c>
    </row>
    <row r="147" spans="3:16">
      <c r="C147" s="788" t="str">
        <f>IF(D94="","-",+C146+1)</f>
        <v>-</v>
      </c>
      <c r="D147" s="736">
        <f t="shared" si="4"/>
        <v>0</v>
      </c>
      <c r="E147" s="789">
        <f t="shared" si="6"/>
        <v>0</v>
      </c>
      <c r="F147" s="789">
        <f t="shared" si="0"/>
        <v>0</v>
      </c>
      <c r="G147" s="736">
        <f t="shared" si="5"/>
        <v>0</v>
      </c>
      <c r="H147" s="794">
        <f>+J95*G147+E147</f>
        <v>0</v>
      </c>
      <c r="I147" s="795">
        <f>+J96*G147+E147</f>
        <v>0</v>
      </c>
      <c r="J147" s="792">
        <f t="shared" si="7"/>
        <v>0</v>
      </c>
      <c r="K147" s="792"/>
      <c r="L147" s="812"/>
      <c r="M147" s="792">
        <f t="shared" si="1"/>
        <v>0</v>
      </c>
      <c r="N147" s="812"/>
      <c r="O147" s="792">
        <f t="shared" si="2"/>
        <v>0</v>
      </c>
      <c r="P147" s="792">
        <f t="shared" si="3"/>
        <v>0</v>
      </c>
    </row>
    <row r="148" spans="3:16">
      <c r="C148" s="788" t="str">
        <f>IF(D94="","-",+C147+1)</f>
        <v>-</v>
      </c>
      <c r="D148" s="736">
        <f t="shared" si="4"/>
        <v>0</v>
      </c>
      <c r="E148" s="789">
        <f t="shared" si="6"/>
        <v>0</v>
      </c>
      <c r="F148" s="789">
        <f t="shared" si="0"/>
        <v>0</v>
      </c>
      <c r="G148" s="736">
        <f t="shared" si="5"/>
        <v>0</v>
      </c>
      <c r="H148" s="794">
        <f>+J95*G148+E148</f>
        <v>0</v>
      </c>
      <c r="I148" s="795">
        <f>+J96*G148+E148</f>
        <v>0</v>
      </c>
      <c r="J148" s="792">
        <f t="shared" si="7"/>
        <v>0</v>
      </c>
      <c r="K148" s="792"/>
      <c r="L148" s="812"/>
      <c r="M148" s="792">
        <f t="shared" si="1"/>
        <v>0</v>
      </c>
      <c r="N148" s="812"/>
      <c r="O148" s="792">
        <f t="shared" si="2"/>
        <v>0</v>
      </c>
      <c r="P148" s="792">
        <f t="shared" si="3"/>
        <v>0</v>
      </c>
    </row>
    <row r="149" spans="3:16">
      <c r="C149" s="788" t="str">
        <f>IF(D94="","-",+C148+1)</f>
        <v>-</v>
      </c>
      <c r="D149" s="736">
        <f t="shared" si="4"/>
        <v>0</v>
      </c>
      <c r="E149" s="789">
        <f t="shared" si="6"/>
        <v>0</v>
      </c>
      <c r="F149" s="789">
        <f t="shared" si="0"/>
        <v>0</v>
      </c>
      <c r="G149" s="736">
        <f t="shared" si="5"/>
        <v>0</v>
      </c>
      <c r="H149" s="794">
        <f>+J95*G149+E149</f>
        <v>0</v>
      </c>
      <c r="I149" s="795">
        <f>+J96*G149+E149</f>
        <v>0</v>
      </c>
      <c r="J149" s="792">
        <f t="shared" si="7"/>
        <v>0</v>
      </c>
      <c r="K149" s="792"/>
      <c r="L149" s="812"/>
      <c r="M149" s="792">
        <f t="shared" si="1"/>
        <v>0</v>
      </c>
      <c r="N149" s="812"/>
      <c r="O149" s="792">
        <f t="shared" si="2"/>
        <v>0</v>
      </c>
      <c r="P149" s="792">
        <f t="shared" si="3"/>
        <v>0</v>
      </c>
    </row>
    <row r="150" spans="3:16">
      <c r="C150" s="788" t="str">
        <f>IF(D94="","-",+C149+1)</f>
        <v>-</v>
      </c>
      <c r="D150" s="736">
        <f t="shared" si="4"/>
        <v>0</v>
      </c>
      <c r="E150" s="789">
        <f t="shared" si="6"/>
        <v>0</v>
      </c>
      <c r="F150" s="789">
        <f t="shared" si="0"/>
        <v>0</v>
      </c>
      <c r="G150" s="736">
        <f t="shared" si="5"/>
        <v>0</v>
      </c>
      <c r="H150" s="794">
        <f>+J95*G150+E150</f>
        <v>0</v>
      </c>
      <c r="I150" s="795">
        <f>+J96*G150+E150</f>
        <v>0</v>
      </c>
      <c r="J150" s="792">
        <f t="shared" si="7"/>
        <v>0</v>
      </c>
      <c r="K150" s="792"/>
      <c r="L150" s="812"/>
      <c r="M150" s="792">
        <f t="shared" si="1"/>
        <v>0</v>
      </c>
      <c r="N150" s="812"/>
      <c r="O150" s="792">
        <f t="shared" si="2"/>
        <v>0</v>
      </c>
      <c r="P150" s="792">
        <f t="shared" si="3"/>
        <v>0</v>
      </c>
    </row>
    <row r="151" spans="3:16">
      <c r="C151" s="788" t="str">
        <f>IF(D94="","-",+C150+1)</f>
        <v>-</v>
      </c>
      <c r="D151" s="736">
        <f t="shared" si="4"/>
        <v>0</v>
      </c>
      <c r="E151" s="789">
        <f t="shared" si="6"/>
        <v>0</v>
      </c>
      <c r="F151" s="789">
        <f t="shared" si="0"/>
        <v>0</v>
      </c>
      <c r="G151" s="736">
        <f t="shared" si="5"/>
        <v>0</v>
      </c>
      <c r="H151" s="794">
        <f>+J95*G151+E151</f>
        <v>0</v>
      </c>
      <c r="I151" s="795">
        <f>+J96*G151+E151</f>
        <v>0</v>
      </c>
      <c r="J151" s="792">
        <f t="shared" si="7"/>
        <v>0</v>
      </c>
      <c r="K151" s="792"/>
      <c r="L151" s="812"/>
      <c r="M151" s="792">
        <f t="shared" si="1"/>
        <v>0</v>
      </c>
      <c r="N151" s="812"/>
      <c r="O151" s="792">
        <f t="shared" si="2"/>
        <v>0</v>
      </c>
      <c r="P151" s="792">
        <f t="shared" si="3"/>
        <v>0</v>
      </c>
    </row>
    <row r="152" spans="3:16">
      <c r="C152" s="788" t="str">
        <f>IF(D94="","-",+C151+1)</f>
        <v>-</v>
      </c>
      <c r="D152" s="736">
        <f t="shared" si="4"/>
        <v>0</v>
      </c>
      <c r="E152" s="789">
        <f t="shared" si="6"/>
        <v>0</v>
      </c>
      <c r="F152" s="789">
        <f t="shared" si="0"/>
        <v>0</v>
      </c>
      <c r="G152" s="736">
        <f t="shared" si="5"/>
        <v>0</v>
      </c>
      <c r="H152" s="794">
        <f>+J95*G152+E152</f>
        <v>0</v>
      </c>
      <c r="I152" s="795">
        <f>+J96*G152+E152</f>
        <v>0</v>
      </c>
      <c r="J152" s="792">
        <f t="shared" si="7"/>
        <v>0</v>
      </c>
      <c r="K152" s="792"/>
      <c r="L152" s="812"/>
      <c r="M152" s="792">
        <f t="shared" si="1"/>
        <v>0</v>
      </c>
      <c r="N152" s="812"/>
      <c r="O152" s="792">
        <f t="shared" si="2"/>
        <v>0</v>
      </c>
      <c r="P152" s="792">
        <f t="shared" si="3"/>
        <v>0</v>
      </c>
    </row>
    <row r="153" spans="3:16">
      <c r="C153" s="788" t="str">
        <f>IF(D94="","-",+C152+1)</f>
        <v>-</v>
      </c>
      <c r="D153" s="736">
        <f t="shared" si="4"/>
        <v>0</v>
      </c>
      <c r="E153" s="789">
        <f t="shared" si="6"/>
        <v>0</v>
      </c>
      <c r="F153" s="789">
        <f t="shared" si="0"/>
        <v>0</v>
      </c>
      <c r="G153" s="736">
        <f t="shared" si="5"/>
        <v>0</v>
      </c>
      <c r="H153" s="794">
        <f>+J95*G153+E153</f>
        <v>0</v>
      </c>
      <c r="I153" s="795">
        <f>+J96*G153+E153</f>
        <v>0</v>
      </c>
      <c r="J153" s="792">
        <f t="shared" si="7"/>
        <v>0</v>
      </c>
      <c r="K153" s="792"/>
      <c r="L153" s="812"/>
      <c r="M153" s="792">
        <f t="shared" si="1"/>
        <v>0</v>
      </c>
      <c r="N153" s="812"/>
      <c r="O153" s="792">
        <f t="shared" si="2"/>
        <v>0</v>
      </c>
      <c r="P153" s="792">
        <f t="shared" si="3"/>
        <v>0</v>
      </c>
    </row>
    <row r="154" spans="3:16">
      <c r="C154" s="788" t="str">
        <f>IF(D94="","-",+C153+1)</f>
        <v>-</v>
      </c>
      <c r="D154" s="736">
        <f>F153</f>
        <v>0</v>
      </c>
      <c r="E154" s="789">
        <f t="shared" si="6"/>
        <v>0</v>
      </c>
      <c r="F154" s="789">
        <f t="shared" si="0"/>
        <v>0</v>
      </c>
      <c r="G154" s="736">
        <f t="shared" si="5"/>
        <v>0</v>
      </c>
      <c r="H154" s="794">
        <f>+J95*G154+E154</f>
        <v>0</v>
      </c>
      <c r="I154" s="795">
        <f>+J96*G154+E154</f>
        <v>0</v>
      </c>
      <c r="J154" s="792">
        <f t="shared" si="7"/>
        <v>0</v>
      </c>
      <c r="K154" s="792"/>
      <c r="L154" s="812"/>
      <c r="M154" s="792">
        <f t="shared" si="1"/>
        <v>0</v>
      </c>
      <c r="N154" s="812"/>
      <c r="O154" s="792">
        <f t="shared" si="2"/>
        <v>0</v>
      </c>
      <c r="P154" s="792">
        <f t="shared" si="3"/>
        <v>0</v>
      </c>
    </row>
    <row r="155" spans="3:16">
      <c r="C155" s="788" t="str">
        <f>IF(D94="","-",+C154+1)</f>
        <v>-</v>
      </c>
      <c r="D155" s="736">
        <f t="shared" si="4"/>
        <v>0</v>
      </c>
      <c r="E155" s="789">
        <f t="shared" si="6"/>
        <v>0</v>
      </c>
      <c r="F155" s="789">
        <f t="shared" si="0"/>
        <v>0</v>
      </c>
      <c r="G155" s="736">
        <f t="shared" si="5"/>
        <v>0</v>
      </c>
      <c r="H155" s="794">
        <f>+J95*G155+E155</f>
        <v>0</v>
      </c>
      <c r="I155" s="795">
        <f>+J96*G155+E155</f>
        <v>0</v>
      </c>
      <c r="J155" s="792">
        <f t="shared" si="7"/>
        <v>0</v>
      </c>
      <c r="K155" s="792"/>
      <c r="L155" s="812"/>
      <c r="M155" s="792">
        <f t="shared" si="1"/>
        <v>0</v>
      </c>
      <c r="N155" s="812"/>
      <c r="O155" s="792">
        <f t="shared" si="2"/>
        <v>0</v>
      </c>
      <c r="P155" s="792">
        <f t="shared" si="3"/>
        <v>0</v>
      </c>
    </row>
    <row r="156" spans="3:16">
      <c r="C156" s="788" t="str">
        <f>IF(D94="","-",+C155+1)</f>
        <v>-</v>
      </c>
      <c r="D156" s="736">
        <f t="shared" si="4"/>
        <v>0</v>
      </c>
      <c r="E156" s="789">
        <f t="shared" si="6"/>
        <v>0</v>
      </c>
      <c r="F156" s="789">
        <f t="shared" si="0"/>
        <v>0</v>
      </c>
      <c r="G156" s="736">
        <f t="shared" si="5"/>
        <v>0</v>
      </c>
      <c r="H156" s="794">
        <f>+J95*G156+E156</f>
        <v>0</v>
      </c>
      <c r="I156" s="795">
        <f>+J96*G156+E156</f>
        <v>0</v>
      </c>
      <c r="J156" s="792">
        <f t="shared" si="7"/>
        <v>0</v>
      </c>
      <c r="K156" s="792"/>
      <c r="L156" s="812"/>
      <c r="M156" s="792">
        <f t="shared" si="1"/>
        <v>0</v>
      </c>
      <c r="N156" s="812"/>
      <c r="O156" s="792">
        <f t="shared" si="2"/>
        <v>0</v>
      </c>
      <c r="P156" s="792">
        <f t="shared" si="3"/>
        <v>0</v>
      </c>
    </row>
    <row r="157" spans="3:16">
      <c r="C157" s="788" t="str">
        <f>IF(D94="","-",+C156+1)</f>
        <v>-</v>
      </c>
      <c r="D157" s="736">
        <f t="shared" si="4"/>
        <v>0</v>
      </c>
      <c r="E157" s="789">
        <f t="shared" si="6"/>
        <v>0</v>
      </c>
      <c r="F157" s="789">
        <f t="shared" si="0"/>
        <v>0</v>
      </c>
      <c r="G157" s="736">
        <f t="shared" si="5"/>
        <v>0</v>
      </c>
      <c r="H157" s="794">
        <f>+J95*G157+E157</f>
        <v>0</v>
      </c>
      <c r="I157" s="795">
        <f>+J96*G157+E157</f>
        <v>0</v>
      </c>
      <c r="J157" s="792">
        <f t="shared" si="7"/>
        <v>0</v>
      </c>
      <c r="K157" s="792"/>
      <c r="L157" s="812"/>
      <c r="M157" s="792">
        <f t="shared" si="1"/>
        <v>0</v>
      </c>
      <c r="N157" s="812"/>
      <c r="O157" s="792">
        <f t="shared" si="2"/>
        <v>0</v>
      </c>
      <c r="P157" s="792">
        <f t="shared" si="3"/>
        <v>0</v>
      </c>
    </row>
    <row r="158" spans="3:16">
      <c r="C158" s="788" t="str">
        <f>IF(D94="","-",+C157+1)</f>
        <v>-</v>
      </c>
      <c r="D158" s="736">
        <f t="shared" si="4"/>
        <v>0</v>
      </c>
      <c r="E158" s="789">
        <f t="shared" si="6"/>
        <v>0</v>
      </c>
      <c r="F158" s="789">
        <f t="shared" si="0"/>
        <v>0</v>
      </c>
      <c r="G158" s="736">
        <f t="shared" si="5"/>
        <v>0</v>
      </c>
      <c r="H158" s="794">
        <f>+J95*G158+E158</f>
        <v>0</v>
      </c>
      <c r="I158" s="795">
        <f>+J96*G158+E158</f>
        <v>0</v>
      </c>
      <c r="J158" s="792">
        <f t="shared" si="7"/>
        <v>0</v>
      </c>
      <c r="K158" s="792"/>
      <c r="L158" s="812"/>
      <c r="M158" s="792">
        <f t="shared" si="1"/>
        <v>0</v>
      </c>
      <c r="N158" s="812"/>
      <c r="O158" s="792">
        <f t="shared" si="2"/>
        <v>0</v>
      </c>
      <c r="P158" s="792">
        <f t="shared" si="3"/>
        <v>0</v>
      </c>
    </row>
    <row r="159" spans="3:16" ht="13.5" thickBot="1">
      <c r="C159" s="798" t="str">
        <f>IF(D94="","-",+C158+1)</f>
        <v>-</v>
      </c>
      <c r="D159" s="799">
        <f t="shared" si="4"/>
        <v>0</v>
      </c>
      <c r="E159" s="800">
        <f t="shared" si="6"/>
        <v>0</v>
      </c>
      <c r="F159" s="800">
        <f t="shared" si="0"/>
        <v>0</v>
      </c>
      <c r="G159" s="799">
        <f t="shared" si="5"/>
        <v>0</v>
      </c>
      <c r="H159" s="801">
        <f>+J95*G159+E159</f>
        <v>0</v>
      </c>
      <c r="I159" s="801">
        <f>+J96*G159+E159</f>
        <v>0</v>
      </c>
      <c r="J159" s="802">
        <f t="shared" si="7"/>
        <v>0</v>
      </c>
      <c r="K159" s="792"/>
      <c r="L159" s="813"/>
      <c r="M159" s="802">
        <f t="shared" si="1"/>
        <v>0</v>
      </c>
      <c r="N159" s="813"/>
      <c r="O159" s="802">
        <f t="shared" si="2"/>
        <v>0</v>
      </c>
      <c r="P159" s="802">
        <f t="shared" si="3"/>
        <v>0</v>
      </c>
    </row>
    <row r="160" spans="3:16">
      <c r="C160" s="736" t="s">
        <v>83</v>
      </c>
      <c r="D160" s="730"/>
      <c r="E160" s="730">
        <f>SUM(E100:E159)</f>
        <v>0</v>
      </c>
      <c r="F160" s="730"/>
      <c r="G160" s="730"/>
      <c r="H160" s="730">
        <f>SUM(H100:H159)</f>
        <v>0</v>
      </c>
      <c r="I160" s="730">
        <f>SUM(I100:I159)</f>
        <v>0</v>
      </c>
      <c r="J160" s="730">
        <f>SUM(J100:J159)</f>
        <v>0</v>
      </c>
      <c r="K160" s="730"/>
      <c r="L160" s="730"/>
      <c r="M160" s="730"/>
      <c r="N160" s="730"/>
      <c r="O160" s="730"/>
    </row>
    <row r="161" spans="3:15">
      <c r="D161" s="538"/>
      <c r="E161" s="314"/>
      <c r="F161" s="314"/>
      <c r="G161" s="314"/>
      <c r="H161" s="314"/>
      <c r="I161" s="708"/>
      <c r="J161" s="708"/>
      <c r="K161" s="730"/>
      <c r="L161" s="708"/>
      <c r="M161" s="708"/>
      <c r="N161" s="708"/>
      <c r="O161" s="708"/>
    </row>
    <row r="162" spans="3:15">
      <c r="C162" s="314" t="s">
        <v>13</v>
      </c>
      <c r="D162" s="538"/>
      <c r="E162" s="314"/>
      <c r="F162" s="314"/>
      <c r="G162" s="314"/>
      <c r="H162" s="314"/>
      <c r="I162" s="708"/>
      <c r="J162" s="708"/>
      <c r="K162" s="730"/>
      <c r="L162" s="708"/>
      <c r="M162" s="708"/>
      <c r="N162" s="708"/>
      <c r="O162" s="708"/>
    </row>
    <row r="163" spans="3:15">
      <c r="C163" s="314"/>
      <c r="D163" s="538"/>
      <c r="E163" s="314"/>
      <c r="F163" s="314"/>
      <c r="G163" s="314"/>
      <c r="H163" s="314"/>
      <c r="I163" s="708"/>
      <c r="J163" s="708"/>
      <c r="K163" s="730"/>
      <c r="L163" s="708"/>
      <c r="M163" s="708"/>
      <c r="N163" s="708"/>
      <c r="O163" s="708"/>
    </row>
    <row r="164" spans="3:15">
      <c r="C164" s="749" t="s">
        <v>14</v>
      </c>
      <c r="D164" s="736"/>
      <c r="E164" s="736"/>
      <c r="F164" s="736"/>
      <c r="G164" s="736"/>
      <c r="H164" s="730"/>
      <c r="I164" s="730"/>
      <c r="J164" s="804"/>
      <c r="K164" s="804"/>
      <c r="L164" s="804"/>
      <c r="M164" s="804"/>
      <c r="N164" s="804"/>
      <c r="O164" s="804"/>
    </row>
    <row r="165" spans="3:15">
      <c r="C165" s="735" t="s">
        <v>263</v>
      </c>
      <c r="D165" s="736"/>
      <c r="E165" s="736"/>
      <c r="F165" s="736"/>
      <c r="G165" s="736"/>
      <c r="H165" s="730"/>
      <c r="I165" s="730"/>
      <c r="J165" s="804"/>
      <c r="K165" s="804"/>
      <c r="L165" s="804"/>
      <c r="M165" s="804"/>
      <c r="N165" s="804"/>
      <c r="O165" s="804"/>
    </row>
    <row r="166" spans="3:15">
      <c r="C166" s="735" t="s">
        <v>84</v>
      </c>
      <c r="D166" s="736"/>
      <c r="E166" s="736"/>
      <c r="F166" s="736"/>
      <c r="G166" s="736"/>
      <c r="H166" s="730"/>
      <c r="I166" s="730"/>
      <c r="J166" s="804"/>
      <c r="K166" s="804"/>
      <c r="L166" s="804"/>
      <c r="M166" s="804"/>
      <c r="N166" s="804"/>
      <c r="O166" s="804"/>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8"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view="pageBreakPreview" zoomScale="60" zoomScaleNormal="100" workbookViewId="0">
      <selection sqref="A1:A2"/>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row>
    <row r="2" spans="1:5" ht="15.75">
      <c r="A2" s="1006"/>
    </row>
    <row r="3" spans="1:5" ht="15">
      <c r="B3" s="1482" t="str">
        <f>TCOS!$F$5</f>
        <v>AEPTCo subsidiaries in PJM</v>
      </c>
      <c r="C3" s="1482" t="str">
        <f>TCOS!$F$5</f>
        <v>AEPTCo subsidiaries in PJM</v>
      </c>
      <c r="D3" s="1482" t="str">
        <f>TCOS!$F$5</f>
        <v>AEPTCo subsidiaries in PJM</v>
      </c>
      <c r="E3" s="1482" t="str">
        <f>TCOS!$F$5</f>
        <v>AEPTCo subsidiaries in PJM</v>
      </c>
    </row>
    <row r="4" spans="1:5" ht="15">
      <c r="B4" s="1475" t="str">
        <f>"Cost of Service Formula Rate Using Actual/Projected FF1 Balances"</f>
        <v>Cost of Service Formula Rate Using Actual/Projected FF1 Balances</v>
      </c>
      <c r="C4" s="1475"/>
      <c r="D4" s="1475"/>
      <c r="E4" s="1475"/>
    </row>
    <row r="5" spans="1:5" ht="15">
      <c r="B5" s="1482" t="s">
        <v>589</v>
      </c>
      <c r="C5" s="1482"/>
      <c r="D5" s="1482"/>
      <c r="E5" s="1482"/>
    </row>
    <row r="6" spans="1:5" ht="15">
      <c r="B6" s="1485" t="str">
        <f>+TCOS!F9</f>
        <v>West Virginia Transmission Company</v>
      </c>
      <c r="C6" s="1482"/>
      <c r="D6" s="1482"/>
      <c r="E6" s="1482"/>
    </row>
    <row r="8" spans="1:5" ht="18.75" customHeight="1">
      <c r="B8" s="8" t="s">
        <v>406</v>
      </c>
      <c r="C8" s="76"/>
      <c r="D8" s="91"/>
    </row>
    <row r="9" spans="1:5">
      <c r="B9" s="90"/>
      <c r="C9" s="76"/>
      <c r="D9" s="91"/>
    </row>
    <row r="10" spans="1:5">
      <c r="B10" s="92" t="s">
        <v>553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43" zoomScale="85" zoomScaleNormal="85" zoomScaleSheetLayoutView="70" workbookViewId="0">
      <selection activeCell="E53" sqref="E53"/>
    </sheetView>
  </sheetViews>
  <sheetFormatPr defaultColWidth="11.42578125" defaultRowHeight="12.75"/>
  <cols>
    <col min="1" max="1" width="10.28515625" style="1191" customWidth="1"/>
    <col min="2" max="2" width="52.28515625" style="1165" customWidth="1"/>
    <col min="3" max="7" width="20.28515625" style="1165" customWidth="1"/>
    <col min="8" max="8" width="23" style="1165" customWidth="1"/>
    <col min="9" max="11" width="20.28515625" style="1165" customWidth="1"/>
    <col min="12" max="12" width="20" style="1165" customWidth="1"/>
    <col min="13" max="14" width="15.140625" style="1165" customWidth="1"/>
    <col min="15" max="16384" width="11.42578125" style="1165"/>
  </cols>
  <sheetData>
    <row r="1" spans="1:12" ht="15">
      <c r="A1" s="1546" t="str">
        <f>TCOS!F5</f>
        <v>AEPTCo subsidiaries in PJM</v>
      </c>
      <c r="B1" s="1546" t="s">
        <v>321</v>
      </c>
      <c r="C1" s="1546" t="s">
        <v>321</v>
      </c>
      <c r="D1" s="1546" t="s">
        <v>321</v>
      </c>
      <c r="E1" s="1546" t="s">
        <v>321</v>
      </c>
      <c r="F1" s="1546" t="s">
        <v>321</v>
      </c>
      <c r="G1" s="1546" t="s">
        <v>321</v>
      </c>
      <c r="H1" s="1164"/>
    </row>
    <row r="2" spans="1:12" ht="15">
      <c r="A2" s="1475" t="str">
        <f>"Cost of Service Formula Rate Using Actual/Projected FF1 Balances"</f>
        <v>Cost of Service Formula Rate Using Actual/Projected FF1 Balances</v>
      </c>
      <c r="B2" s="1475"/>
      <c r="C2" s="1475"/>
      <c r="D2" s="1475"/>
      <c r="E2" s="1475"/>
      <c r="F2" s="1475"/>
      <c r="G2" s="1475"/>
      <c r="H2" s="1166"/>
      <c r="I2" s="1166"/>
      <c r="J2" s="1166"/>
      <c r="L2" s="1167"/>
    </row>
    <row r="3" spans="1:12" ht="15">
      <c r="A3" s="1475" t="s">
        <v>733</v>
      </c>
      <c r="B3" s="1475"/>
      <c r="C3" s="1475"/>
      <c r="D3" s="1475"/>
      <c r="E3" s="1475"/>
      <c r="F3" s="1475"/>
      <c r="G3" s="1475"/>
      <c r="H3" s="1166"/>
      <c r="I3" s="1166"/>
      <c r="J3" s="1166"/>
    </row>
    <row r="4" spans="1:12" ht="15">
      <c r="A4" s="1481" t="str">
        <f>TCOS!F9</f>
        <v>West Virginia Transmission Company</v>
      </c>
      <c r="B4" s="1481"/>
      <c r="C4" s="1481"/>
      <c r="D4" s="1481"/>
      <c r="E4" s="1481"/>
      <c r="F4" s="1481"/>
      <c r="G4" s="1481"/>
      <c r="H4" s="1166"/>
      <c r="I4" s="1166"/>
      <c r="J4" s="1166"/>
    </row>
    <row r="5" spans="1:12">
      <c r="A5" s="1166"/>
      <c r="B5" s="1168"/>
      <c r="C5" s="1168"/>
      <c r="D5" s="1168"/>
      <c r="E5" s="1169"/>
      <c r="F5" s="1170"/>
      <c r="H5" s="1017"/>
      <c r="I5" s="1017"/>
      <c r="J5" s="1017"/>
      <c r="K5" s="1017"/>
      <c r="L5" s="1017"/>
    </row>
    <row r="6" spans="1:12" ht="12.75" customHeight="1">
      <c r="A6" s="1164"/>
      <c r="B6" s="1080"/>
      <c r="C6" s="1476" t="s">
        <v>331</v>
      </c>
      <c r="D6" s="1477"/>
      <c r="E6" s="1477"/>
      <c r="F6" s="1477"/>
      <c r="G6" s="1478"/>
      <c r="H6" s="1171"/>
      <c r="I6" s="1017"/>
      <c r="J6" s="1017"/>
      <c r="K6" s="1017"/>
      <c r="L6" s="1017"/>
    </row>
    <row r="7" spans="1:12" s="1174" customFormat="1" ht="38.25">
      <c r="A7" s="1172" t="s">
        <v>702</v>
      </c>
      <c r="B7" s="1085" t="s">
        <v>703</v>
      </c>
      <c r="C7" s="1115" t="s">
        <v>734</v>
      </c>
      <c r="D7" s="1086" t="s">
        <v>163</v>
      </c>
      <c r="E7" s="1086" t="s">
        <v>735</v>
      </c>
      <c r="F7" s="1086" t="s">
        <v>736</v>
      </c>
      <c r="G7" s="1173" t="s">
        <v>331</v>
      </c>
      <c r="H7" s="1171"/>
      <c r="I7" s="1017"/>
      <c r="J7" s="1017"/>
      <c r="K7" s="1017"/>
      <c r="L7" s="1017"/>
    </row>
    <row r="8" spans="1:12" s="1177" customFormat="1">
      <c r="A8" s="1175"/>
      <c r="B8" s="1090" t="s">
        <v>707</v>
      </c>
      <c r="C8" s="1116" t="s">
        <v>725</v>
      </c>
      <c r="D8" s="1091" t="s">
        <v>726</v>
      </c>
      <c r="E8" s="1091" t="s">
        <v>708</v>
      </c>
      <c r="F8" s="1091" t="s">
        <v>709</v>
      </c>
      <c r="G8" s="1176" t="s">
        <v>737</v>
      </c>
      <c r="H8" s="1171"/>
      <c r="I8" s="1017"/>
      <c r="J8" s="1017"/>
      <c r="K8" s="1017"/>
      <c r="L8" s="1017"/>
    </row>
    <row r="9" spans="1:12" s="1177" customFormat="1" ht="44.25" customHeight="1">
      <c r="A9" s="1175"/>
      <c r="B9" s="1090" t="s">
        <v>713</v>
      </c>
      <c r="C9" s="1178" t="s">
        <v>738</v>
      </c>
      <c r="D9" s="1094" t="s">
        <v>739</v>
      </c>
      <c r="E9" s="1094" t="s">
        <v>740</v>
      </c>
      <c r="F9" s="1094" t="s">
        <v>741</v>
      </c>
      <c r="G9" s="1179"/>
      <c r="H9" s="1171"/>
      <c r="I9" s="1017"/>
      <c r="J9" s="1017"/>
      <c r="K9" s="1017"/>
      <c r="L9" s="1017"/>
    </row>
    <row r="10" spans="1:12">
      <c r="A10" s="1175">
        <v>1</v>
      </c>
      <c r="B10" s="1096" t="s">
        <v>714</v>
      </c>
      <c r="C10" s="1180">
        <v>1374941773.2376401</v>
      </c>
      <c r="D10" s="1180">
        <v>0</v>
      </c>
      <c r="E10" s="1180">
        <v>0</v>
      </c>
      <c r="F10" s="1180">
        <v>0</v>
      </c>
      <c r="G10" s="1181">
        <f>+C10-D10-E10-F10</f>
        <v>1374941773.2376401</v>
      </c>
      <c r="H10" s="1171"/>
      <c r="I10" s="1017"/>
      <c r="J10" s="1017"/>
      <c r="K10" s="1017"/>
      <c r="L10" s="1017"/>
    </row>
    <row r="11" spans="1:12">
      <c r="A11" s="1175">
        <f>+A10+1</f>
        <v>2</v>
      </c>
      <c r="B11" s="1096" t="s">
        <v>566</v>
      </c>
      <c r="C11" s="1180">
        <v>1388386461.53862</v>
      </c>
      <c r="D11" s="1309">
        <v>0</v>
      </c>
      <c r="E11" s="1309">
        <v>0</v>
      </c>
      <c r="F11" s="1309">
        <v>0</v>
      </c>
      <c r="G11" s="1181">
        <f t="shared" ref="G11:G22" si="0">+C11-D11-E11-F11</f>
        <v>1388386461.53862</v>
      </c>
      <c r="H11" s="1171"/>
      <c r="I11" s="1017"/>
      <c r="J11" s="1017"/>
      <c r="K11" s="1017"/>
      <c r="L11" s="1017"/>
    </row>
    <row r="12" spans="1:12">
      <c r="A12" s="1175">
        <f t="shared" ref="A12:A23" si="1">+A11+1</f>
        <v>3</v>
      </c>
      <c r="B12" s="1098" t="s">
        <v>567</v>
      </c>
      <c r="C12" s="1180">
        <v>1390035269.27175</v>
      </c>
      <c r="D12" s="1309">
        <v>0</v>
      </c>
      <c r="E12" s="1309">
        <v>0</v>
      </c>
      <c r="F12" s="1309">
        <v>0</v>
      </c>
      <c r="G12" s="1181">
        <f t="shared" si="0"/>
        <v>1390035269.27175</v>
      </c>
      <c r="H12" s="1171"/>
      <c r="I12" s="1017"/>
      <c r="J12" s="1017"/>
      <c r="K12" s="1017"/>
      <c r="L12" s="1017"/>
    </row>
    <row r="13" spans="1:12">
      <c r="A13" s="1175">
        <f t="shared" si="1"/>
        <v>4</v>
      </c>
      <c r="B13" s="1098" t="s">
        <v>715</v>
      </c>
      <c r="C13" s="1180">
        <v>1403581975.26912</v>
      </c>
      <c r="D13" s="1309">
        <v>0</v>
      </c>
      <c r="E13" s="1309">
        <v>0</v>
      </c>
      <c r="F13" s="1309">
        <v>0</v>
      </c>
      <c r="G13" s="1181">
        <f t="shared" si="0"/>
        <v>1403581975.26912</v>
      </c>
      <c r="H13" s="1171"/>
      <c r="I13" s="1017"/>
      <c r="J13" s="1017"/>
      <c r="K13" s="1017"/>
      <c r="L13" s="1017"/>
    </row>
    <row r="14" spans="1:12">
      <c r="A14" s="1175">
        <f t="shared" si="1"/>
        <v>5</v>
      </c>
      <c r="B14" s="1098" t="s">
        <v>569</v>
      </c>
      <c r="C14" s="1180">
        <v>1416457222.37798</v>
      </c>
      <c r="D14" s="1309">
        <v>0</v>
      </c>
      <c r="E14" s="1309">
        <v>0</v>
      </c>
      <c r="F14" s="1309">
        <v>0</v>
      </c>
      <c r="G14" s="1181">
        <f t="shared" si="0"/>
        <v>1416457222.37798</v>
      </c>
      <c r="H14" s="1171"/>
      <c r="I14" s="1017"/>
      <c r="J14" s="1017"/>
      <c r="K14" s="1017"/>
      <c r="L14" s="1017"/>
    </row>
    <row r="15" spans="1:12">
      <c r="A15" s="1175">
        <f t="shared" si="1"/>
        <v>6</v>
      </c>
      <c r="B15" s="1098" t="s">
        <v>570</v>
      </c>
      <c r="C15" s="1180">
        <v>1419879550.04984</v>
      </c>
      <c r="D15" s="1309">
        <v>0</v>
      </c>
      <c r="E15" s="1309">
        <v>0</v>
      </c>
      <c r="F15" s="1309">
        <v>0</v>
      </c>
      <c r="G15" s="1181">
        <f t="shared" si="0"/>
        <v>1419879550.04984</v>
      </c>
      <c r="H15" s="1171"/>
      <c r="I15" s="1017"/>
      <c r="J15" s="1017"/>
      <c r="K15" s="1017"/>
      <c r="L15" s="1017"/>
    </row>
    <row r="16" spans="1:12">
      <c r="A16" s="1175">
        <f t="shared" si="1"/>
        <v>7</v>
      </c>
      <c r="B16" s="1098" t="s">
        <v>571</v>
      </c>
      <c r="C16" s="1180">
        <v>1432695440.0031002</v>
      </c>
      <c r="D16" s="1309">
        <v>0</v>
      </c>
      <c r="E16" s="1309">
        <v>0</v>
      </c>
      <c r="F16" s="1309">
        <v>0</v>
      </c>
      <c r="G16" s="1181">
        <f t="shared" si="0"/>
        <v>1432695440.0031002</v>
      </c>
      <c r="H16" s="1171"/>
      <c r="I16" s="1017"/>
      <c r="J16" s="1017"/>
      <c r="K16" s="1017"/>
      <c r="L16" s="1017"/>
    </row>
    <row r="17" spans="1:12">
      <c r="A17" s="1175">
        <f t="shared" si="1"/>
        <v>8</v>
      </c>
      <c r="B17" s="1098" t="s">
        <v>572</v>
      </c>
      <c r="C17" s="1180">
        <v>1443960289.98456</v>
      </c>
      <c r="D17" s="1309">
        <v>0</v>
      </c>
      <c r="E17" s="1309">
        <v>0</v>
      </c>
      <c r="F17" s="1309">
        <v>0</v>
      </c>
      <c r="G17" s="1181">
        <f t="shared" si="0"/>
        <v>1443960289.98456</v>
      </c>
      <c r="H17" s="1171"/>
      <c r="I17" s="1017"/>
      <c r="J17" s="1017"/>
      <c r="K17" s="1017"/>
      <c r="L17" s="1017"/>
    </row>
    <row r="18" spans="1:12">
      <c r="A18" s="1175">
        <f t="shared" si="1"/>
        <v>9</v>
      </c>
      <c r="B18" s="1098" t="s">
        <v>716</v>
      </c>
      <c r="C18" s="1180">
        <v>1447056665.1576002</v>
      </c>
      <c r="D18" s="1309">
        <v>0</v>
      </c>
      <c r="E18" s="1309">
        <v>0</v>
      </c>
      <c r="F18" s="1309">
        <v>0</v>
      </c>
      <c r="G18" s="1181">
        <f t="shared" si="0"/>
        <v>1447056665.1576002</v>
      </c>
      <c r="H18" s="1171"/>
      <c r="I18" s="1017"/>
      <c r="J18" s="1017"/>
      <c r="K18" s="1017"/>
      <c r="L18" s="1017"/>
    </row>
    <row r="19" spans="1:12">
      <c r="A19" s="1175">
        <f t="shared" si="1"/>
        <v>10</v>
      </c>
      <c r="B19" s="1098" t="s">
        <v>574</v>
      </c>
      <c r="C19" s="1180">
        <v>1459626049.31371</v>
      </c>
      <c r="D19" s="1309">
        <v>0</v>
      </c>
      <c r="E19" s="1309">
        <v>0</v>
      </c>
      <c r="F19" s="1309">
        <v>0</v>
      </c>
      <c r="G19" s="1181">
        <f t="shared" si="0"/>
        <v>1459626049.31371</v>
      </c>
      <c r="H19" s="1171"/>
      <c r="I19" s="1017"/>
      <c r="J19" s="1017"/>
      <c r="K19" s="1017"/>
      <c r="L19" s="1017"/>
    </row>
    <row r="20" spans="1:12">
      <c r="A20" s="1175">
        <f t="shared" si="1"/>
        <v>11</v>
      </c>
      <c r="B20" s="1098" t="s">
        <v>575</v>
      </c>
      <c r="C20" s="1180">
        <v>1472675958.1417999</v>
      </c>
      <c r="D20" s="1309">
        <v>0</v>
      </c>
      <c r="E20" s="1309">
        <v>0</v>
      </c>
      <c r="F20" s="1309">
        <v>0</v>
      </c>
      <c r="G20" s="1181">
        <f t="shared" si="0"/>
        <v>1472675958.1417999</v>
      </c>
      <c r="H20" s="1171"/>
      <c r="I20" s="1017"/>
      <c r="J20" s="1017"/>
      <c r="K20" s="1017"/>
      <c r="L20" s="1017"/>
    </row>
    <row r="21" spans="1:12">
      <c r="A21" s="1175">
        <f t="shared" si="1"/>
        <v>12</v>
      </c>
      <c r="B21" s="1098" t="s">
        <v>576</v>
      </c>
      <c r="C21" s="1180">
        <v>1475058497.85674</v>
      </c>
      <c r="D21" s="1309">
        <v>0</v>
      </c>
      <c r="E21" s="1309">
        <v>0</v>
      </c>
      <c r="F21" s="1309">
        <v>0</v>
      </c>
      <c r="G21" s="1181">
        <f t="shared" si="0"/>
        <v>1475058497.85674</v>
      </c>
      <c r="H21" s="1171"/>
      <c r="I21" s="1017"/>
      <c r="J21" s="1017"/>
      <c r="K21" s="1017"/>
      <c r="L21" s="1017"/>
    </row>
    <row r="22" spans="1:12">
      <c r="A22" s="1182">
        <f t="shared" si="1"/>
        <v>13</v>
      </c>
      <c r="B22" s="1100" t="s">
        <v>717</v>
      </c>
      <c r="C22" s="1180">
        <v>1487700681.7144301</v>
      </c>
      <c r="D22" s="1180">
        <v>0</v>
      </c>
      <c r="E22" s="1180">
        <v>0</v>
      </c>
      <c r="F22" s="1180">
        <v>0</v>
      </c>
      <c r="G22" s="1181">
        <f t="shared" si="0"/>
        <v>1487700681.7144301</v>
      </c>
      <c r="H22" s="1171"/>
      <c r="I22" s="1017"/>
      <c r="J22" s="1017"/>
      <c r="K22" s="1017"/>
      <c r="L22" s="1017"/>
    </row>
    <row r="23" spans="1:12" ht="13.5" thickBot="1">
      <c r="A23" s="1182">
        <f t="shared" si="1"/>
        <v>14</v>
      </c>
      <c r="B23" s="1402" t="s">
        <v>718</v>
      </c>
      <c r="C23" s="1125">
        <f>SUM(C10:C22)/13</f>
        <v>1431696602.6089919</v>
      </c>
      <c r="D23" s="1102">
        <f t="shared" ref="D23:G23" si="2">SUM(D10:D22)/13</f>
        <v>0</v>
      </c>
      <c r="E23" s="1102">
        <f t="shared" si="2"/>
        <v>0</v>
      </c>
      <c r="F23" s="1102">
        <f t="shared" si="2"/>
        <v>0</v>
      </c>
      <c r="G23" s="1103">
        <f t="shared" si="2"/>
        <v>1431696602.6089919</v>
      </c>
      <c r="H23" s="1171"/>
      <c r="I23" s="1017"/>
      <c r="J23" s="1017"/>
      <c r="K23" s="1017"/>
      <c r="L23" s="1017"/>
    </row>
    <row r="24" spans="1:12" ht="13.5" thickTop="1">
      <c r="A24" s="1164"/>
      <c r="B24" s="1104"/>
      <c r="C24" s="1105"/>
      <c r="D24" s="1106"/>
      <c r="E24" s="1106"/>
      <c r="F24" s="1106"/>
      <c r="G24" s="1105"/>
      <c r="H24" s="1105"/>
      <c r="I24" s="1017"/>
      <c r="J24" s="1017"/>
      <c r="K24" s="1017"/>
      <c r="L24" s="1017"/>
    </row>
    <row r="25" spans="1:12" ht="12.75" customHeight="1">
      <c r="A25" s="1164"/>
      <c r="B25" s="1080"/>
      <c r="C25" s="1547" t="s">
        <v>532</v>
      </c>
      <c r="D25" s="1548"/>
      <c r="E25" s="1548"/>
      <c r="F25" s="1548"/>
      <c r="G25" s="1548"/>
      <c r="H25" s="1549"/>
      <c r="I25" s="1017"/>
      <c r="J25" s="1017"/>
      <c r="K25" s="1017"/>
      <c r="L25" s="1017"/>
    </row>
    <row r="26" spans="1:12" s="1174" customFormat="1" ht="38.25">
      <c r="A26" s="1172" t="s">
        <v>702</v>
      </c>
      <c r="B26" s="1085" t="s">
        <v>703</v>
      </c>
      <c r="C26" s="1115" t="s">
        <v>742</v>
      </c>
      <c r="D26" s="1086" t="s">
        <v>743</v>
      </c>
      <c r="E26" s="1086" t="s">
        <v>757</v>
      </c>
      <c r="F26" s="1086" t="s">
        <v>758</v>
      </c>
      <c r="G26" s="1086" t="s">
        <v>744</v>
      </c>
      <c r="H26" s="1173" t="s">
        <v>756</v>
      </c>
      <c r="I26" s="1017"/>
      <c r="J26" s="1017"/>
      <c r="K26" s="1017"/>
      <c r="L26" s="1017"/>
    </row>
    <row r="27" spans="1:12" s="1177" customFormat="1">
      <c r="A27" s="1175"/>
      <c r="B27" s="1090" t="s">
        <v>707</v>
      </c>
      <c r="C27" s="1116" t="s">
        <v>725</v>
      </c>
      <c r="D27" s="1091" t="s">
        <v>726</v>
      </c>
      <c r="E27" s="1091" t="s">
        <v>708</v>
      </c>
      <c r="F27" s="1091" t="s">
        <v>709</v>
      </c>
      <c r="G27" s="1091" t="s">
        <v>745</v>
      </c>
      <c r="H27" s="1176" t="s">
        <v>746</v>
      </c>
      <c r="I27" s="1017"/>
      <c r="J27" s="1017"/>
      <c r="K27" s="1017"/>
      <c r="L27" s="1017"/>
    </row>
    <row r="28" spans="1:12" s="1177" customFormat="1" ht="44.25" customHeight="1">
      <c r="A28" s="1175"/>
      <c r="B28" s="1090" t="s">
        <v>713</v>
      </c>
      <c r="C28" s="1178" t="s">
        <v>747</v>
      </c>
      <c r="D28" s="1094" t="s">
        <v>748</v>
      </c>
      <c r="E28" s="1094" t="s">
        <v>749</v>
      </c>
      <c r="F28" s="1094" t="s">
        <v>750</v>
      </c>
      <c r="G28" s="1094" t="s">
        <v>751</v>
      </c>
      <c r="H28" s="1183"/>
      <c r="I28" s="1017"/>
      <c r="J28" s="1017"/>
      <c r="K28" s="1017"/>
      <c r="L28" s="1017"/>
    </row>
    <row r="29" spans="1:12">
      <c r="A29" s="1175">
        <f>+A23+1</f>
        <v>15</v>
      </c>
      <c r="B29" s="1096" t="s">
        <v>714</v>
      </c>
      <c r="C29" s="1309">
        <v>0</v>
      </c>
      <c r="D29" s="1180">
        <v>0</v>
      </c>
      <c r="E29" s="1180">
        <v>1117800000</v>
      </c>
      <c r="F29" s="1180">
        <v>0</v>
      </c>
      <c r="G29" s="1180">
        <v>0</v>
      </c>
      <c r="H29" s="1181">
        <f>+C29-D29+E29+F29-G29</f>
        <v>1117800000</v>
      </c>
      <c r="I29" s="1017"/>
      <c r="J29" s="1017"/>
      <c r="K29" s="1017"/>
      <c r="L29" s="1017"/>
    </row>
    <row r="30" spans="1:12">
      <c r="A30" s="1175">
        <f>+A29+1</f>
        <v>16</v>
      </c>
      <c r="B30" s="1096" t="s">
        <v>566</v>
      </c>
      <c r="C30" s="1309">
        <v>0</v>
      </c>
      <c r="D30" s="1309">
        <v>0</v>
      </c>
      <c r="E30" s="1180">
        <v>1117800000</v>
      </c>
      <c r="F30" s="1180">
        <v>0</v>
      </c>
      <c r="G30" s="1309">
        <v>0</v>
      </c>
      <c r="H30" s="1181">
        <f t="shared" ref="H30:H41" si="3">+C30-D30+E30+F30-G30</f>
        <v>1117800000</v>
      </c>
      <c r="I30" s="1017"/>
      <c r="J30" s="1017"/>
      <c r="K30" s="1017"/>
      <c r="L30" s="1017"/>
    </row>
    <row r="31" spans="1:12">
      <c r="A31" s="1175">
        <f t="shared" ref="A31:A42" si="4">+A30+1</f>
        <v>17</v>
      </c>
      <c r="B31" s="1098" t="s">
        <v>567</v>
      </c>
      <c r="C31" s="1309">
        <v>0</v>
      </c>
      <c r="D31" s="1309">
        <v>0</v>
      </c>
      <c r="E31" s="1180">
        <v>1117800000</v>
      </c>
      <c r="F31" s="1180">
        <v>0</v>
      </c>
      <c r="G31" s="1309">
        <v>0</v>
      </c>
      <c r="H31" s="1181">
        <f t="shared" si="3"/>
        <v>1117800000</v>
      </c>
      <c r="I31" s="1017"/>
      <c r="J31" s="1017"/>
      <c r="K31" s="1017"/>
      <c r="L31" s="1017"/>
    </row>
    <row r="32" spans="1:12">
      <c r="A32" s="1175">
        <f t="shared" si="4"/>
        <v>18</v>
      </c>
      <c r="B32" s="1098" t="s">
        <v>715</v>
      </c>
      <c r="C32" s="1309">
        <v>0</v>
      </c>
      <c r="D32" s="1309">
        <v>0</v>
      </c>
      <c r="E32" s="1180">
        <v>1107800000</v>
      </c>
      <c r="F32" s="1180">
        <v>0</v>
      </c>
      <c r="G32" s="1309">
        <v>0</v>
      </c>
      <c r="H32" s="1181">
        <f t="shared" si="3"/>
        <v>1107800000</v>
      </c>
      <c r="I32" s="1017"/>
      <c r="J32" s="1017"/>
      <c r="K32" s="1017"/>
      <c r="L32" s="1017"/>
    </row>
    <row r="33" spans="1:12">
      <c r="A33" s="1175">
        <f t="shared" si="4"/>
        <v>19</v>
      </c>
      <c r="B33" s="1098" t="s">
        <v>569</v>
      </c>
      <c r="C33" s="1309">
        <v>0</v>
      </c>
      <c r="D33" s="1309">
        <v>0</v>
      </c>
      <c r="E33" s="1180">
        <v>1107800000</v>
      </c>
      <c r="F33" s="1180">
        <v>0</v>
      </c>
      <c r="G33" s="1309">
        <v>0</v>
      </c>
      <c r="H33" s="1181">
        <f t="shared" si="3"/>
        <v>1107800000</v>
      </c>
      <c r="I33" s="1017"/>
      <c r="J33" s="1017"/>
      <c r="K33" s="1017"/>
      <c r="L33" s="1017"/>
    </row>
    <row r="34" spans="1:12">
      <c r="A34" s="1175">
        <f t="shared" si="4"/>
        <v>20</v>
      </c>
      <c r="B34" s="1098" t="s">
        <v>570</v>
      </c>
      <c r="C34" s="1309">
        <v>0</v>
      </c>
      <c r="D34" s="1309">
        <v>0</v>
      </c>
      <c r="E34" s="1180">
        <v>1107800000</v>
      </c>
      <c r="F34" s="1180">
        <v>0</v>
      </c>
      <c r="G34" s="1309">
        <v>0</v>
      </c>
      <c r="H34" s="1181">
        <f>+C34-D34+E34+F34-G34</f>
        <v>1107800000</v>
      </c>
      <c r="I34" s="1017"/>
      <c r="J34" s="1017"/>
      <c r="K34" s="1017"/>
      <c r="L34" s="1017"/>
    </row>
    <row r="35" spans="1:12">
      <c r="A35" s="1175">
        <f t="shared" si="4"/>
        <v>21</v>
      </c>
      <c r="B35" s="1098" t="s">
        <v>571</v>
      </c>
      <c r="C35" s="1309">
        <v>0</v>
      </c>
      <c r="D35" s="1309">
        <v>0</v>
      </c>
      <c r="E35" s="1180">
        <v>1097800000</v>
      </c>
      <c r="F35" s="1180">
        <v>100000000</v>
      </c>
      <c r="G35" s="1309">
        <v>0</v>
      </c>
      <c r="H35" s="1181">
        <f t="shared" si="3"/>
        <v>1197800000</v>
      </c>
      <c r="I35" s="1017"/>
      <c r="J35" s="1017"/>
      <c r="K35" s="1017"/>
      <c r="L35" s="1017"/>
    </row>
    <row r="36" spans="1:12">
      <c r="A36" s="1175">
        <f t="shared" si="4"/>
        <v>22</v>
      </c>
      <c r="B36" s="1098" t="s">
        <v>572</v>
      </c>
      <c r="C36" s="1309">
        <v>0</v>
      </c>
      <c r="D36" s="1309">
        <v>0</v>
      </c>
      <c r="E36" s="1180">
        <v>1097800000</v>
      </c>
      <c r="F36" s="1180">
        <v>100000000</v>
      </c>
      <c r="G36" s="1309">
        <v>0</v>
      </c>
      <c r="H36" s="1181">
        <f t="shared" si="3"/>
        <v>1197800000</v>
      </c>
      <c r="I36" s="1017"/>
      <c r="J36" s="1017"/>
      <c r="K36" s="1017"/>
      <c r="L36" s="1017"/>
    </row>
    <row r="37" spans="1:12">
      <c r="A37" s="1175">
        <f t="shared" si="4"/>
        <v>23</v>
      </c>
      <c r="B37" s="1098" t="s">
        <v>716</v>
      </c>
      <c r="C37" s="1309">
        <v>0</v>
      </c>
      <c r="D37" s="1309">
        <v>0</v>
      </c>
      <c r="E37" s="1180">
        <v>1097800000</v>
      </c>
      <c r="F37" s="1180">
        <v>100000000</v>
      </c>
      <c r="G37" s="1309">
        <v>0</v>
      </c>
      <c r="H37" s="1181">
        <f t="shared" si="3"/>
        <v>1197800000</v>
      </c>
      <c r="I37" s="1017"/>
      <c r="J37" s="1017"/>
      <c r="K37" s="1017"/>
      <c r="L37" s="1017"/>
    </row>
    <row r="38" spans="1:12">
      <c r="A38" s="1175">
        <f t="shared" si="4"/>
        <v>24</v>
      </c>
      <c r="B38" s="1098" t="s">
        <v>574</v>
      </c>
      <c r="C38" s="1309">
        <v>0</v>
      </c>
      <c r="D38" s="1309">
        <v>0</v>
      </c>
      <c r="E38" s="1180">
        <v>1097800000</v>
      </c>
      <c r="F38" s="1180">
        <v>100000000</v>
      </c>
      <c r="G38" s="1309">
        <v>0</v>
      </c>
      <c r="H38" s="1181">
        <f t="shared" si="3"/>
        <v>1197800000</v>
      </c>
      <c r="I38" s="1017"/>
      <c r="J38" s="1017"/>
      <c r="K38" s="1017"/>
      <c r="L38" s="1017"/>
    </row>
    <row r="39" spans="1:12">
      <c r="A39" s="1175">
        <f t="shared" si="4"/>
        <v>25</v>
      </c>
      <c r="B39" s="1098" t="s">
        <v>575</v>
      </c>
      <c r="C39" s="1309">
        <v>0</v>
      </c>
      <c r="D39" s="1309">
        <v>0</v>
      </c>
      <c r="E39" s="1180">
        <v>1097800000</v>
      </c>
      <c r="F39" s="1180">
        <v>100000000</v>
      </c>
      <c r="G39" s="1309">
        <v>0</v>
      </c>
      <c r="H39" s="1181">
        <f t="shared" si="3"/>
        <v>1197800000</v>
      </c>
      <c r="I39" s="1017"/>
      <c r="J39" s="1017"/>
      <c r="K39" s="1017"/>
      <c r="L39" s="1017"/>
    </row>
    <row r="40" spans="1:12">
      <c r="A40" s="1175">
        <f t="shared" si="4"/>
        <v>26</v>
      </c>
      <c r="B40" s="1098" t="s">
        <v>576</v>
      </c>
      <c r="C40" s="1309">
        <v>0</v>
      </c>
      <c r="D40" s="1309">
        <v>0</v>
      </c>
      <c r="E40" s="1180">
        <v>1097800000</v>
      </c>
      <c r="F40" s="1180">
        <v>100000000</v>
      </c>
      <c r="G40" s="1309">
        <v>0</v>
      </c>
      <c r="H40" s="1181">
        <f t="shared" si="3"/>
        <v>1197800000</v>
      </c>
      <c r="I40" s="1017"/>
      <c r="J40" s="1017"/>
      <c r="K40" s="1017"/>
      <c r="L40" s="1017"/>
    </row>
    <row r="41" spans="1:12">
      <c r="A41" s="1182">
        <f t="shared" si="4"/>
        <v>27</v>
      </c>
      <c r="B41" s="1100" t="s">
        <v>717</v>
      </c>
      <c r="C41" s="1180">
        <v>0</v>
      </c>
      <c r="D41" s="1180">
        <v>0</v>
      </c>
      <c r="E41" s="1180">
        <v>1097800000</v>
      </c>
      <c r="F41" s="1180">
        <v>100000000</v>
      </c>
      <c r="G41" s="1180">
        <v>0</v>
      </c>
      <c r="H41" s="1181">
        <f t="shared" si="3"/>
        <v>1197800000</v>
      </c>
      <c r="I41" s="1017"/>
      <c r="J41" s="1017"/>
      <c r="K41" s="1017"/>
      <c r="L41" s="1017"/>
    </row>
    <row r="42" spans="1:12" ht="13.5" thickBot="1">
      <c r="A42" s="1185">
        <f t="shared" si="4"/>
        <v>28</v>
      </c>
      <c r="B42" s="1109" t="s">
        <v>718</v>
      </c>
      <c r="C42" s="1125">
        <f t="shared" ref="C42:H42" si="5">SUM(C29:C41)/13</f>
        <v>0</v>
      </c>
      <c r="D42" s="1102">
        <f t="shared" si="5"/>
        <v>0</v>
      </c>
      <c r="E42" s="1102">
        <f t="shared" si="5"/>
        <v>1104723076.9230769</v>
      </c>
      <c r="F42" s="1102">
        <f t="shared" si="5"/>
        <v>53846153.846153848</v>
      </c>
      <c r="G42" s="1103">
        <f t="shared" si="5"/>
        <v>0</v>
      </c>
      <c r="H42" s="1103">
        <f t="shared" si="5"/>
        <v>1158569230.7692308</v>
      </c>
      <c r="I42" s="1017"/>
      <c r="J42" s="1017"/>
      <c r="K42" s="1017"/>
      <c r="L42" s="1017"/>
    </row>
    <row r="43" spans="1:12" ht="13.5" thickTop="1">
      <c r="A43" s="1166"/>
      <c r="B43" s="1186"/>
      <c r="C43" s="1187"/>
      <c r="D43" s="1188"/>
      <c r="E43" s="1188"/>
      <c r="F43" s="1188"/>
      <c r="G43" s="1187"/>
      <c r="H43" s="1187"/>
      <c r="I43" s="1017"/>
      <c r="J43" s="1017"/>
      <c r="K43" s="1017"/>
      <c r="L43" s="1017"/>
    </row>
    <row r="44" spans="1:12" ht="12.75" customHeight="1">
      <c r="A44" s="1189" t="s">
        <v>752</v>
      </c>
      <c r="F44" s="1190"/>
      <c r="G44" s="1190"/>
      <c r="H44" s="1190"/>
      <c r="I44" s="1017"/>
      <c r="J44" s="1017"/>
      <c r="K44" s="1017"/>
    </row>
    <row r="45" spans="1:12">
      <c r="E45" s="1190"/>
      <c r="F45" s="1190"/>
      <c r="G45" s="1190"/>
      <c r="H45" s="1190"/>
      <c r="J45" s="1186"/>
    </row>
    <row r="46" spans="1:12" ht="15">
      <c r="A46" s="1192" t="s">
        <v>332</v>
      </c>
      <c r="E46" s="1190"/>
      <c r="F46" s="1190"/>
      <c r="G46" s="1190"/>
      <c r="H46" s="1164"/>
    </row>
    <row r="47" spans="1:12" ht="15">
      <c r="A47" s="1192"/>
      <c r="B47" s="1193" t="s">
        <v>707</v>
      </c>
      <c r="C47" s="1193" t="s">
        <v>725</v>
      </c>
      <c r="D47" s="1194" t="s">
        <v>726</v>
      </c>
      <c r="E47" s="1193" t="s">
        <v>708</v>
      </c>
      <c r="F47" s="1194" t="s">
        <v>709</v>
      </c>
      <c r="G47" s="1193" t="s">
        <v>745</v>
      </c>
      <c r="H47" s="1193" t="s">
        <v>753</v>
      </c>
    </row>
    <row r="48" spans="1:12">
      <c r="A48" s="719">
        <f>+A42+1</f>
        <v>29</v>
      </c>
      <c r="B48" s="1195" t="str">
        <f>"Annual Interest Expense for "&amp;TCOS!L4</f>
        <v>Annual Interest Expense for 2025</v>
      </c>
      <c r="C48" s="1196"/>
      <c r="D48" s="1197"/>
      <c r="E48" s="1198"/>
      <c r="F48" s="1198"/>
      <c r="G48" s="1198"/>
      <c r="H48" s="1198"/>
      <c r="I48" s="1198"/>
      <c r="J48" s="1198"/>
      <c r="K48" s="1198"/>
      <c r="L48" s="1198"/>
    </row>
    <row r="49" spans="1:12">
      <c r="A49" s="719">
        <f>+A48+1</f>
        <v>30</v>
      </c>
      <c r="B49" s="1271" t="s">
        <v>772</v>
      </c>
      <c r="C49" s="1196"/>
      <c r="D49" s="1197"/>
      <c r="E49" s="1200">
        <v>46855966.666666605</v>
      </c>
      <c r="F49" s="1198"/>
      <c r="G49" s="1198"/>
      <c r="H49" s="1198"/>
      <c r="I49" s="1198"/>
      <c r="J49" s="1198"/>
      <c r="K49" s="1198"/>
      <c r="L49" s="1198"/>
    </row>
    <row r="50" spans="1:12" ht="28.5" customHeight="1">
      <c r="A50" s="719">
        <f t="shared" ref="A50:A55" si="6">+A49+1</f>
        <v>31</v>
      </c>
      <c r="B50" s="1541" t="str">
        <f>"Less: Total Hedge Gain/Expense Accumulated from p 256-257, col. (i) of FERC Form 1  included in Ln "&amp;A49&amp;" and shown in "&amp;A68&amp;" below."</f>
        <v>Less: Total Hedge Gain/Expense Accumulated from p 256-257, col. (i) of FERC Form 1  included in Ln 30 and shown in 43 below.</v>
      </c>
      <c r="C50" s="1542"/>
      <c r="D50" s="1197"/>
      <c r="E50" s="1196">
        <f>+C68</f>
        <v>0</v>
      </c>
      <c r="F50" s="1198"/>
      <c r="G50" s="1198"/>
      <c r="H50" s="1198"/>
      <c r="I50" s="1198"/>
      <c r="J50" s="1198"/>
      <c r="K50" s="1198"/>
      <c r="L50" s="1198"/>
    </row>
    <row r="51" spans="1:12">
      <c r="A51" s="719">
        <f t="shared" si="6"/>
        <v>32</v>
      </c>
      <c r="B51" s="1271" t="s">
        <v>773</v>
      </c>
      <c r="C51" s="1272"/>
      <c r="D51" s="1201"/>
      <c r="E51" s="1200">
        <v>0</v>
      </c>
      <c r="F51" s="1198"/>
      <c r="G51" s="1198"/>
      <c r="H51" s="1198"/>
      <c r="I51" s="1198"/>
      <c r="J51" s="1198"/>
    </row>
    <row r="52" spans="1:12">
      <c r="A52" s="719">
        <f t="shared" si="6"/>
        <v>33</v>
      </c>
      <c r="B52" s="1271" t="s">
        <v>774</v>
      </c>
      <c r="C52" s="1202"/>
      <c r="D52" s="1197"/>
      <c r="E52" s="1200">
        <v>0</v>
      </c>
      <c r="F52" s="1198"/>
      <c r="G52" s="1198"/>
      <c r="H52" s="1198"/>
      <c r="I52" s="1198"/>
      <c r="J52" s="1198"/>
    </row>
    <row r="53" spans="1:12">
      <c r="A53" s="719">
        <f t="shared" si="6"/>
        <v>34</v>
      </c>
      <c r="B53" s="1271" t="s">
        <v>775</v>
      </c>
      <c r="C53" s="1202"/>
      <c r="D53" s="1197"/>
      <c r="E53" s="1200"/>
      <c r="F53" s="1198"/>
      <c r="G53" s="1198"/>
      <c r="H53" s="1198"/>
      <c r="I53" s="1198"/>
      <c r="J53" s="1198"/>
    </row>
    <row r="54" spans="1:12" ht="13.5" thickBot="1">
      <c r="A54" s="719">
        <f t="shared" si="6"/>
        <v>35</v>
      </c>
      <c r="B54" s="1271" t="s">
        <v>776</v>
      </c>
      <c r="C54" s="1202"/>
      <c r="D54" s="1197"/>
      <c r="E54" s="1203"/>
      <c r="F54" s="1198"/>
      <c r="G54" s="1198"/>
      <c r="H54" s="1198"/>
      <c r="I54" s="1198"/>
      <c r="J54" s="1198"/>
    </row>
    <row r="55" spans="1:12">
      <c r="A55" s="719">
        <f t="shared" si="6"/>
        <v>36</v>
      </c>
      <c r="B55" s="1195" t="str">
        <f>"Total Interest Expense (Ln "&amp;A49&amp;" - "&amp;A50&amp;" + "&amp;A51&amp;" + "&amp;A52&amp;" - "&amp;A53&amp;" - "&amp;A54&amp;")"</f>
        <v>Total Interest Expense (Ln 30 - 31 + 32 + 33 - 34 - 35)</v>
      </c>
      <c r="C55" s="1204"/>
      <c r="D55" s="1205"/>
      <c r="E55" s="1206">
        <f>+E49-E50+E51+E52-E53-E54</f>
        <v>46855966.666666605</v>
      </c>
      <c r="F55" s="1198"/>
      <c r="G55" s="1198"/>
      <c r="H55" s="1198"/>
      <c r="I55" s="1198"/>
      <c r="J55" s="1198"/>
    </row>
    <row r="56" spans="1:12" ht="13.5" thickBot="1">
      <c r="A56" s="719"/>
      <c r="B56" s="1199"/>
      <c r="C56" s="1202"/>
      <c r="D56" s="1197"/>
      <c r="E56" s="1207"/>
      <c r="F56" s="1198"/>
      <c r="G56" s="1198"/>
      <c r="H56" s="1198"/>
      <c r="I56" s="1198"/>
      <c r="J56" s="1198"/>
    </row>
    <row r="57" spans="1:12" ht="13.5" thickBot="1">
      <c r="A57" s="719">
        <f>+A55+1</f>
        <v>37</v>
      </c>
      <c r="B57" s="1195" t="str">
        <f>"Average Cost of Debt for "&amp;TCOS!L4&amp;" (Ln "&amp;A55&amp;"/ ln "&amp;A42&amp;" (g))"</f>
        <v>Average Cost of Debt for 2025 (Ln 36/ ln 28 (g))</v>
      </c>
      <c r="C57" s="1204"/>
      <c r="D57" s="1197"/>
      <c r="E57" s="1208">
        <f>+E55/H42</f>
        <v>4.0442957936623808E-2</v>
      </c>
      <c r="F57" s="1198"/>
      <c r="G57" s="1198"/>
      <c r="H57" s="1198"/>
      <c r="I57" s="1198"/>
      <c r="J57" s="1198"/>
    </row>
    <row r="58" spans="1:12">
      <c r="A58" s="1209"/>
      <c r="B58" s="1199"/>
      <c r="C58" s="1202"/>
      <c r="D58" s="1197"/>
      <c r="E58" s="1202"/>
      <c r="F58" s="1198"/>
      <c r="G58" s="1198"/>
      <c r="H58" s="1198"/>
      <c r="I58" s="1198"/>
      <c r="J58" s="1198"/>
    </row>
    <row r="59" spans="1:12" ht="16.5" customHeight="1">
      <c r="A59" s="1210"/>
      <c r="B59" s="1543" t="s">
        <v>754</v>
      </c>
      <c r="C59" s="1543"/>
      <c r="D59" s="1543"/>
      <c r="E59" s="1543"/>
      <c r="F59" s="1211"/>
      <c r="G59" s="1198"/>
      <c r="H59" s="1198"/>
      <c r="I59" s="1198"/>
      <c r="J59" s="1198"/>
    </row>
    <row r="60" spans="1:12" ht="21" customHeight="1">
      <c r="A60" s="1212">
        <f>+A57+1</f>
        <v>38</v>
      </c>
      <c r="B60" s="1544" t="str">
        <f>""&amp;A4&amp;" may not include costs (or gains) related to interest hedging activities."</f>
        <v>West Virginia Transmission Company may not include costs (or gains) related to interest hedging activities.</v>
      </c>
      <c r="C60" s="1544"/>
      <c r="D60" s="1544"/>
      <c r="E60" s="1544"/>
      <c r="F60" s="1544"/>
      <c r="G60" s="1213"/>
      <c r="H60" s="1213"/>
      <c r="I60" s="1198"/>
      <c r="J60" s="1198"/>
    </row>
    <row r="61" spans="1:12">
      <c r="A61" s="1214"/>
      <c r="B61" s="1215"/>
      <c r="C61" s="1215"/>
      <c r="D61" s="1215"/>
      <c r="E61" s="1545" t="s">
        <v>219</v>
      </c>
      <c r="F61" s="1545"/>
      <c r="G61" s="1017"/>
      <c r="H61" s="1017"/>
      <c r="I61" s="1198"/>
      <c r="J61" s="1198"/>
    </row>
    <row r="62" spans="1:12" ht="38.25">
      <c r="A62" s="719"/>
      <c r="B62" s="1217" t="s">
        <v>220</v>
      </c>
      <c r="C62" s="1217" t="str">
        <f>"(Amortization of (Gain)/Loss for "&amp;TCOS!L4</f>
        <v>(Amortization of (Gain)/Loss for 2025</v>
      </c>
      <c r="D62" s="1216" t="s">
        <v>221</v>
      </c>
      <c r="E62" s="1216" t="s">
        <v>78</v>
      </c>
      <c r="F62" s="1216" t="s">
        <v>80</v>
      </c>
      <c r="G62" s="1017"/>
      <c r="H62" s="1017"/>
      <c r="I62" s="1198"/>
      <c r="J62" s="1198"/>
    </row>
    <row r="63" spans="1:12">
      <c r="A63" s="719">
        <f>+A60+1</f>
        <v>39</v>
      </c>
      <c r="B63" s="1218"/>
      <c r="C63" s="1184"/>
      <c r="D63" s="1218"/>
      <c r="E63" s="1218"/>
      <c r="F63" s="1219"/>
      <c r="G63" s="1017"/>
      <c r="H63" s="1017"/>
      <c r="I63" s="1201"/>
      <c r="J63" s="1201"/>
    </row>
    <row r="64" spans="1:12">
      <c r="A64" s="719">
        <f>+A63+1</f>
        <v>40</v>
      </c>
      <c r="B64" s="1218"/>
      <c r="C64" s="1184"/>
      <c r="D64" s="1218"/>
      <c r="E64" s="1218"/>
      <c r="F64" s="1219"/>
      <c r="G64" s="1220"/>
      <c r="H64" s="1220"/>
      <c r="I64" s="1198"/>
      <c r="J64" s="1198"/>
    </row>
    <row r="65" spans="1:10">
      <c r="A65" s="719">
        <f>+A64+1</f>
        <v>41</v>
      </c>
      <c r="B65" s="1218"/>
      <c r="C65" s="1184"/>
      <c r="D65" s="1221"/>
      <c r="E65" s="1221"/>
      <c r="F65" s="1219"/>
      <c r="G65" s="1220"/>
      <c r="H65" s="1220"/>
      <c r="I65" s="1198"/>
      <c r="J65" s="1198"/>
    </row>
    <row r="66" spans="1:10">
      <c r="A66" s="719">
        <f>+A65+1</f>
        <v>42</v>
      </c>
      <c r="B66" s="1218"/>
      <c r="C66" s="1184"/>
      <c r="D66" s="1221"/>
      <c r="E66" s="1221"/>
      <c r="F66" s="1222"/>
      <c r="G66" s="1223"/>
      <c r="H66" s="1224"/>
      <c r="I66" s="1198"/>
      <c r="J66" s="1198"/>
    </row>
    <row r="67" spans="1:10">
      <c r="A67" s="719"/>
      <c r="B67" s="1225"/>
      <c r="C67" s="1226"/>
      <c r="D67" s="1226"/>
      <c r="E67" s="1227"/>
      <c r="F67" s="1198"/>
      <c r="G67" s="1228"/>
      <c r="H67" s="1228"/>
    </row>
    <row r="68" spans="1:10">
      <c r="A68" s="719">
        <f>+A66+1</f>
        <v>43</v>
      </c>
      <c r="B68" s="1229" t="s">
        <v>245</v>
      </c>
      <c r="C68" s="1207">
        <f>SUM(C63:C67)</f>
        <v>0</v>
      </c>
      <c r="D68" s="1207">
        <f>SUM(D63:D67)</f>
        <v>0</v>
      </c>
      <c r="E68" s="1207">
        <f>SUM(E63:E67)</f>
        <v>0</v>
      </c>
      <c r="F68" s="1230">
        <f>SUM(F63:F67)</f>
        <v>0</v>
      </c>
      <c r="G68" s="1198"/>
      <c r="H68" s="1198"/>
    </row>
    <row r="69" spans="1:10">
      <c r="A69" s="719"/>
      <c r="B69" s="1199"/>
      <c r="C69" s="1207"/>
      <c r="D69" s="1207"/>
      <c r="E69" s="1207"/>
      <c r="F69" s="1198"/>
      <c r="G69" s="1198"/>
      <c r="H69" s="1198"/>
    </row>
    <row r="70" spans="1:10">
      <c r="A70" s="719"/>
      <c r="B70" s="1195"/>
      <c r="C70" s="1202"/>
      <c r="D70" s="1197"/>
      <c r="E70" s="1231"/>
      <c r="F70" s="1198"/>
      <c r="G70" s="1198"/>
      <c r="H70" s="1198"/>
    </row>
    <row r="71" spans="1:10">
      <c r="A71" s="719"/>
      <c r="B71" s="1195"/>
      <c r="C71" s="1202"/>
      <c r="D71" s="1197"/>
      <c r="E71" s="1231"/>
      <c r="F71" s="1198"/>
      <c r="G71" s="1198"/>
      <c r="H71" s="1198"/>
    </row>
    <row r="72" spans="1:10" ht="15">
      <c r="A72" s="1232" t="s">
        <v>337</v>
      </c>
      <c r="B72" s="1195"/>
      <c r="C72" s="1202"/>
      <c r="D72" s="1197"/>
      <c r="E72" s="1231"/>
      <c r="F72" s="1198"/>
      <c r="G72" s="1198"/>
      <c r="H72" s="1198"/>
    </row>
    <row r="73" spans="1:10">
      <c r="A73" s="719"/>
      <c r="B73" s="1195"/>
      <c r="C73" s="1202"/>
      <c r="D73" s="1197"/>
      <c r="E73" s="1231"/>
      <c r="F73" s="1198"/>
      <c r="G73" s="1198"/>
      <c r="H73" s="1198"/>
    </row>
    <row r="74" spans="1:10">
      <c r="A74" s="1233">
        <f>+A68+1</f>
        <v>44</v>
      </c>
      <c r="B74" s="1197" t="str">
        <f>"Balance of Preferred Stock (Line "&amp;A23&amp;" (c))"</f>
        <v>Balance of Preferred Stock (Line 14 (c))</v>
      </c>
      <c r="E74" s="1234">
        <f>+D23</f>
        <v>0</v>
      </c>
    </row>
    <row r="75" spans="1:10">
      <c r="A75" s="719">
        <f>+A74+1</f>
        <v>45</v>
      </c>
      <c r="B75" s="1197" t="s">
        <v>755</v>
      </c>
      <c r="E75" s="1222"/>
    </row>
    <row r="76" spans="1:10">
      <c r="A76" s="719">
        <f>+A75+1</f>
        <v>46</v>
      </c>
      <c r="B76" s="1235" t="str">
        <f>"Average Cost of Preferred Stock (Ln "&amp;A75&amp;" / ln "&amp;A74&amp;")"</f>
        <v>Average Cost of Preferred Stock (Ln 45 / ln 44)</v>
      </c>
      <c r="E76" s="1236"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topLeftCell="A40" zoomScale="90" zoomScaleNormal="90" zoomScaleSheetLayoutView="70" workbookViewId="0">
      <selection activeCell="C65" sqref="C65"/>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74" t="str">
        <f>TCOS!F5</f>
        <v>AEPTCo subsidiaries in PJM</v>
      </c>
      <c r="B1" s="1474" t="s">
        <v>321</v>
      </c>
      <c r="C1" s="1474" t="s">
        <v>321</v>
      </c>
      <c r="D1" s="1474" t="s">
        <v>321</v>
      </c>
      <c r="E1" s="1474" t="s">
        <v>321</v>
      </c>
      <c r="F1" s="1474" t="s">
        <v>321</v>
      </c>
      <c r="G1" s="1474" t="s">
        <v>321</v>
      </c>
      <c r="H1" s="1077"/>
      <c r="I1" s="1077"/>
    </row>
    <row r="2" spans="1:12" ht="15">
      <c r="A2" s="1475" t="str">
        <f>"Cost of Service Formula Rate Using Actual/Projected FF1 Balances"</f>
        <v>Cost of Service Formula Rate Using Actual/Projected FF1 Balances</v>
      </c>
      <c r="B2" s="1475"/>
      <c r="C2" s="1475"/>
      <c r="D2" s="1475"/>
      <c r="E2" s="1475"/>
      <c r="F2" s="1475"/>
      <c r="G2" s="1475"/>
      <c r="H2" s="1077"/>
      <c r="I2" s="1077"/>
      <c r="J2" s="1077"/>
      <c r="L2" s="1079"/>
    </row>
    <row r="3" spans="1:12" ht="15">
      <c r="A3" s="1475" t="s">
        <v>700</v>
      </c>
      <c r="B3" s="1475"/>
      <c r="C3" s="1475"/>
      <c r="D3" s="1475"/>
      <c r="E3" s="1475"/>
      <c r="F3" s="1475"/>
      <c r="G3" s="1475"/>
      <c r="H3" s="1077"/>
      <c r="I3" s="1077"/>
      <c r="J3" s="1077"/>
    </row>
    <row r="4" spans="1:12" ht="15">
      <c r="A4" s="1481" t="str">
        <f>TCOS!F9</f>
        <v>West Virginia Transmission Company</v>
      </c>
      <c r="B4" s="1481"/>
      <c r="C4" s="1481"/>
      <c r="D4" s="1481"/>
      <c r="E4" s="1481"/>
      <c r="F4" s="1481"/>
      <c r="G4" s="1481"/>
      <c r="H4" s="1077"/>
      <c r="I4" s="1077"/>
      <c r="J4" s="1077"/>
    </row>
    <row r="5" spans="1:12">
      <c r="A5" s="1077"/>
      <c r="B5" s="1080"/>
      <c r="C5" s="1080"/>
      <c r="D5" s="1080"/>
      <c r="E5" s="1081"/>
      <c r="F5" s="1082"/>
      <c r="H5" s="1082"/>
      <c r="J5" s="1082"/>
      <c r="L5" s="1082"/>
    </row>
    <row r="6" spans="1:12" ht="12.75" customHeight="1">
      <c r="A6" s="1077"/>
      <c r="B6" s="1080"/>
      <c r="C6" s="1476" t="s">
        <v>701</v>
      </c>
      <c r="D6" s="1477"/>
      <c r="E6" s="1477"/>
      <c r="F6" s="1477"/>
      <c r="G6" s="1478"/>
      <c r="H6" s="1083"/>
      <c r="I6" s="1083"/>
      <c r="J6" s="1083"/>
      <c r="K6" s="1083"/>
      <c r="L6" s="4"/>
    </row>
    <row r="7" spans="1:12" s="1088" customFormat="1" ht="25.5">
      <c r="A7" s="1084" t="s">
        <v>702</v>
      </c>
      <c r="B7" s="1085" t="s">
        <v>703</v>
      </c>
      <c r="C7" s="1086" t="s">
        <v>407</v>
      </c>
      <c r="D7" s="1086" t="s">
        <v>704</v>
      </c>
      <c r="E7" s="1086" t="s">
        <v>128</v>
      </c>
      <c r="F7" s="1086" t="s">
        <v>705</v>
      </c>
      <c r="G7" s="1085" t="s">
        <v>706</v>
      </c>
      <c r="H7" s="7"/>
      <c r="I7" s="1087"/>
      <c r="J7" s="1087"/>
      <c r="K7" s="1087"/>
      <c r="L7" s="4"/>
    </row>
    <row r="8" spans="1:12" s="1093" customFormat="1">
      <c r="A8" s="1089"/>
      <c r="B8" s="1090" t="s">
        <v>707</v>
      </c>
      <c r="C8" s="1091" t="s">
        <v>708</v>
      </c>
      <c r="D8" s="1091" t="s">
        <v>709</v>
      </c>
      <c r="E8" s="1091" t="s">
        <v>710</v>
      </c>
      <c r="F8" s="1091" t="s">
        <v>711</v>
      </c>
      <c r="G8" s="1092" t="s">
        <v>712</v>
      </c>
      <c r="H8"/>
      <c r="L8" s="4"/>
    </row>
    <row r="9" spans="1:12" s="1093" customFormat="1" ht="44.25" customHeight="1">
      <c r="A9" s="1089"/>
      <c r="B9" s="1090" t="s">
        <v>713</v>
      </c>
      <c r="C9" s="1094" t="s">
        <v>223</v>
      </c>
      <c r="D9" s="1094" t="s">
        <v>224</v>
      </c>
      <c r="E9" s="1094" t="s">
        <v>225</v>
      </c>
      <c r="F9" s="1094" t="s">
        <v>226</v>
      </c>
      <c r="G9" s="1095" t="s">
        <v>227</v>
      </c>
      <c r="H9"/>
      <c r="L9" s="4"/>
    </row>
    <row r="10" spans="1:12">
      <c r="A10" s="1089">
        <v>1</v>
      </c>
      <c r="B10" s="1096" t="s">
        <v>714</v>
      </c>
      <c r="C10" s="1434">
        <v>2709560799.0632997</v>
      </c>
      <c r="D10" s="1435"/>
      <c r="E10" s="1436">
        <v>53910342.571122102</v>
      </c>
      <c r="F10" s="1097"/>
      <c r="G10" s="1392">
        <v>32018106.416115198</v>
      </c>
      <c r="H10"/>
      <c r="L10" s="4"/>
    </row>
    <row r="11" spans="1:12">
      <c r="A11" s="1089">
        <f>+A10+1</f>
        <v>2</v>
      </c>
      <c r="B11" s="1096" t="s">
        <v>566</v>
      </c>
      <c r="C11" s="1437">
        <v>2742978999.0055299</v>
      </c>
      <c r="D11" s="1438"/>
      <c r="E11" s="1439">
        <v>52783083.701450504</v>
      </c>
      <c r="F11" s="1307"/>
      <c r="G11" s="1393">
        <v>33228931.092051201</v>
      </c>
      <c r="H11"/>
      <c r="L11" s="4"/>
    </row>
    <row r="12" spans="1:12">
      <c r="A12" s="1089">
        <f t="shared" ref="A12:A23" si="0">+A11+1</f>
        <v>3</v>
      </c>
      <c r="B12" s="1098" t="s">
        <v>567</v>
      </c>
      <c r="C12" s="1437">
        <v>2747692929.79913</v>
      </c>
      <c r="D12" s="1438"/>
      <c r="E12" s="1439">
        <v>52264725.9791575</v>
      </c>
      <c r="F12" s="1307"/>
      <c r="G12" s="1393">
        <v>33977163.038145401</v>
      </c>
      <c r="H12"/>
      <c r="L12" s="4"/>
    </row>
    <row r="13" spans="1:12">
      <c r="A13" s="1089">
        <f t="shared" si="0"/>
        <v>4</v>
      </c>
      <c r="B13" s="1098" t="s">
        <v>715</v>
      </c>
      <c r="C13" s="1437">
        <v>2751408368.91395</v>
      </c>
      <c r="D13" s="1438"/>
      <c r="E13" s="1439">
        <v>52341285.445762701</v>
      </c>
      <c r="F13" s="1307"/>
      <c r="G13" s="1393">
        <v>33789626.833817497</v>
      </c>
      <c r="H13"/>
      <c r="L13" s="4"/>
    </row>
    <row r="14" spans="1:12">
      <c r="A14" s="1089">
        <f t="shared" si="0"/>
        <v>5</v>
      </c>
      <c r="B14" s="1098" t="s">
        <v>569</v>
      </c>
      <c r="C14" s="1437">
        <v>2785775491.6182299</v>
      </c>
      <c r="D14" s="1438"/>
      <c r="E14" s="1439">
        <v>52411769.9229744</v>
      </c>
      <c r="F14" s="1307"/>
      <c r="G14" s="1393">
        <v>34043586.407237001</v>
      </c>
      <c r="H14"/>
      <c r="L14" s="4"/>
    </row>
    <row r="15" spans="1:12">
      <c r="A15" s="1089">
        <f t="shared" si="0"/>
        <v>6</v>
      </c>
      <c r="B15" s="1098" t="s">
        <v>570</v>
      </c>
      <c r="C15" s="1437">
        <v>2788709412.77526</v>
      </c>
      <c r="D15" s="1438"/>
      <c r="E15" s="1439">
        <v>52482188.092657804</v>
      </c>
      <c r="F15" s="1307"/>
      <c r="G15" s="1393">
        <v>34300812.001693502</v>
      </c>
      <c r="H15"/>
      <c r="L15" s="4"/>
    </row>
    <row r="16" spans="1:12">
      <c r="A16" s="1089">
        <f t="shared" si="0"/>
        <v>7</v>
      </c>
      <c r="B16" s="1098" t="s">
        <v>571</v>
      </c>
      <c r="C16" s="1437">
        <v>2823815209.9760399</v>
      </c>
      <c r="D16" s="1438"/>
      <c r="E16" s="1439">
        <v>52552809.995876297</v>
      </c>
      <c r="F16" s="1307"/>
      <c r="G16" s="1393">
        <v>32941432.227123797</v>
      </c>
      <c r="H16"/>
      <c r="L16" s="4"/>
    </row>
    <row r="17" spans="1:12">
      <c r="A17" s="1089">
        <f t="shared" si="0"/>
        <v>8</v>
      </c>
      <c r="B17" s="1098" t="s">
        <v>572</v>
      </c>
      <c r="C17" s="1437">
        <v>2839721141.6051998</v>
      </c>
      <c r="D17" s="1438"/>
      <c r="E17" s="1439">
        <v>52625050.769119501</v>
      </c>
      <c r="F17" s="1307"/>
      <c r="G17" s="1393">
        <v>33214682.222957198</v>
      </c>
      <c r="H17"/>
      <c r="L17" s="4"/>
    </row>
    <row r="18" spans="1:12">
      <c r="A18" s="1089">
        <f t="shared" si="0"/>
        <v>9</v>
      </c>
      <c r="B18" s="1098" t="s">
        <v>716</v>
      </c>
      <c r="C18" s="1437">
        <v>2841142832.1314797</v>
      </c>
      <c r="D18" s="1438"/>
      <c r="E18" s="1439">
        <v>52698932.320390299</v>
      </c>
      <c r="F18" s="1307"/>
      <c r="G18" s="1393">
        <v>33493792.758206997</v>
      </c>
      <c r="H18"/>
      <c r="L18" s="4"/>
    </row>
    <row r="19" spans="1:12">
      <c r="A19" s="1089">
        <f t="shared" si="0"/>
        <v>10</v>
      </c>
      <c r="B19" s="1098" t="s">
        <v>574</v>
      </c>
      <c r="C19" s="1437">
        <v>2842467170.6124001</v>
      </c>
      <c r="D19" s="1438"/>
      <c r="E19" s="1439">
        <v>75125936.779881492</v>
      </c>
      <c r="F19" s="1307"/>
      <c r="G19" s="1393">
        <v>32921790.806392498</v>
      </c>
      <c r="H19"/>
      <c r="L19" s="4"/>
    </row>
    <row r="20" spans="1:12">
      <c r="A20" s="1089">
        <f t="shared" si="0"/>
        <v>11</v>
      </c>
      <c r="B20" s="1098" t="s">
        <v>575</v>
      </c>
      <c r="C20" s="1437">
        <v>2863360015.7975602</v>
      </c>
      <c r="D20" s="1438"/>
      <c r="E20" s="1439">
        <v>75198366.97066249</v>
      </c>
      <c r="F20" s="1307"/>
      <c r="G20" s="1393">
        <v>33207194.163360298</v>
      </c>
      <c r="H20"/>
      <c r="L20" s="4"/>
    </row>
    <row r="21" spans="1:12">
      <c r="A21" s="1089">
        <f t="shared" si="0"/>
        <v>12</v>
      </c>
      <c r="B21" s="1098" t="s">
        <v>576</v>
      </c>
      <c r="C21" s="1437">
        <v>2915381939.9590302</v>
      </c>
      <c r="D21" s="1438"/>
      <c r="E21" s="1439">
        <v>75269144.701736912</v>
      </c>
      <c r="F21" s="1307"/>
      <c r="G21" s="1393">
        <v>33481108.128954105</v>
      </c>
      <c r="H21"/>
      <c r="L21" s="4"/>
    </row>
    <row r="22" spans="1:12">
      <c r="A22" s="1099">
        <f t="shared" si="0"/>
        <v>13</v>
      </c>
      <c r="B22" s="1100" t="s">
        <v>717</v>
      </c>
      <c r="C22" s="1440">
        <v>3033037877.2752299</v>
      </c>
      <c r="D22" s="1441"/>
      <c r="E22" s="1442">
        <v>75337169.938592091</v>
      </c>
      <c r="F22" s="1097"/>
      <c r="G22" s="1401">
        <v>32509250.567776099</v>
      </c>
      <c r="H22"/>
      <c r="L22" s="4"/>
    </row>
    <row r="23" spans="1:12" ht="13.5" thickBot="1">
      <c r="A23" s="1099">
        <f t="shared" si="0"/>
        <v>14</v>
      </c>
      <c r="B23" s="1101" t="s">
        <v>718</v>
      </c>
      <c r="C23" s="1102">
        <f>SUM(C10:C22)/13</f>
        <v>2821927091.4255648</v>
      </c>
      <c r="D23" s="1102">
        <f t="shared" ref="D23:G23" si="1">SUM(D10:D22)/13</f>
        <v>0</v>
      </c>
      <c r="E23" s="1102">
        <f t="shared" si="1"/>
        <v>59615446.706875697</v>
      </c>
      <c r="F23" s="1102">
        <f t="shared" si="1"/>
        <v>0</v>
      </c>
      <c r="G23" s="1102">
        <f t="shared" si="1"/>
        <v>33317498.204910062</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79" t="s">
        <v>719</v>
      </c>
      <c r="D25" s="1480"/>
      <c r="E25" s="1480"/>
      <c r="F25" s="1480"/>
      <c r="G25" s="1480"/>
      <c r="H25"/>
      <c r="I25"/>
      <c r="J25"/>
      <c r="K25"/>
      <c r="L25" s="4"/>
    </row>
    <row r="26" spans="1:12" s="1088" customFormat="1" ht="25.5">
      <c r="A26" s="1084" t="s">
        <v>702</v>
      </c>
      <c r="B26" s="1085" t="s">
        <v>703</v>
      </c>
      <c r="C26" s="1086" t="s">
        <v>407</v>
      </c>
      <c r="D26" s="1086" t="s">
        <v>704</v>
      </c>
      <c r="E26" s="1086" t="s">
        <v>128</v>
      </c>
      <c r="F26" s="1086" t="s">
        <v>705</v>
      </c>
      <c r="G26" s="1107" t="s">
        <v>706</v>
      </c>
      <c r="H26"/>
      <c r="I26"/>
      <c r="J26"/>
      <c r="K26"/>
      <c r="L26" s="4"/>
    </row>
    <row r="27" spans="1:12" s="1093" customFormat="1">
      <c r="A27" s="1089"/>
      <c r="B27" s="1090" t="s">
        <v>707</v>
      </c>
      <c r="C27" s="1091" t="s">
        <v>708</v>
      </c>
      <c r="D27" s="1091" t="s">
        <v>709</v>
      </c>
      <c r="E27" s="1091" t="s">
        <v>710</v>
      </c>
      <c r="F27" s="1091" t="s">
        <v>711</v>
      </c>
      <c r="G27" s="1092" t="s">
        <v>712</v>
      </c>
      <c r="H27"/>
      <c r="I27"/>
      <c r="J27"/>
      <c r="K27"/>
      <c r="L27" s="4"/>
    </row>
    <row r="28" spans="1:12" s="1093" customFormat="1" ht="44.25" customHeight="1">
      <c r="A28" s="1089"/>
      <c r="B28" s="1090" t="s">
        <v>713</v>
      </c>
      <c r="C28" s="1094" t="s">
        <v>172</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294</v>
      </c>
      <c r="H28"/>
      <c r="I28"/>
      <c r="J28"/>
      <c r="K28"/>
      <c r="L28" s="4"/>
    </row>
    <row r="29" spans="1:12">
      <c r="A29" s="1089">
        <f>+A23+1</f>
        <v>15</v>
      </c>
      <c r="B29" s="1096" t="s">
        <v>714</v>
      </c>
      <c r="C29" s="1180">
        <v>290134150.99761796</v>
      </c>
      <c r="D29" s="1097">
        <v>0</v>
      </c>
      <c r="E29" s="1180">
        <v>2864123.31451341</v>
      </c>
      <c r="F29" s="1097">
        <v>0</v>
      </c>
      <c r="G29" s="1392">
        <v>10396917.511110799</v>
      </c>
      <c r="H29"/>
      <c r="I29"/>
      <c r="J29"/>
      <c r="K29"/>
      <c r="L29" s="4"/>
    </row>
    <row r="30" spans="1:12">
      <c r="A30" s="1089">
        <f>+A29+1</f>
        <v>16</v>
      </c>
      <c r="B30" s="1096" t="s">
        <v>566</v>
      </c>
      <c r="C30" s="1180">
        <v>295814515.59324497</v>
      </c>
      <c r="D30" s="1307">
        <v>0</v>
      </c>
      <c r="E30" s="1180">
        <v>2948346.7804886899</v>
      </c>
      <c r="F30" s="1307">
        <v>0</v>
      </c>
      <c r="G30" s="1393">
        <v>10857505.1627877</v>
      </c>
      <c r="H30"/>
      <c r="I30"/>
      <c r="J30"/>
      <c r="K30"/>
      <c r="L30" s="4"/>
    </row>
    <row r="31" spans="1:12">
      <c r="A31" s="1089">
        <f t="shared" ref="A31:A42" si="2">+A30+1</f>
        <v>17</v>
      </c>
      <c r="B31" s="1098" t="s">
        <v>567</v>
      </c>
      <c r="C31" s="1180">
        <v>301571486.21713293</v>
      </c>
      <c r="D31" s="1307">
        <v>0</v>
      </c>
      <c r="E31" s="1180">
        <v>3027854.5468591698</v>
      </c>
      <c r="F31" s="1307">
        <v>0</v>
      </c>
      <c r="G31" s="1393">
        <v>11338273.2257303</v>
      </c>
      <c r="H31"/>
      <c r="I31"/>
      <c r="J31"/>
      <c r="K31"/>
      <c r="L31" s="4"/>
    </row>
    <row r="32" spans="1:12">
      <c r="A32" s="1089">
        <f t="shared" si="2"/>
        <v>18</v>
      </c>
      <c r="B32" s="1098" t="s">
        <v>715</v>
      </c>
      <c r="C32" s="1180">
        <v>307339627.14189994</v>
      </c>
      <c r="D32" s="1307">
        <v>0</v>
      </c>
      <c r="E32" s="1180">
        <v>3105193.8500914001</v>
      </c>
      <c r="F32" s="1307">
        <v>0</v>
      </c>
      <c r="G32" s="1393">
        <v>11366454.201107699</v>
      </c>
      <c r="H32"/>
      <c r="I32"/>
      <c r="J32"/>
      <c r="K32"/>
      <c r="L32" s="4"/>
    </row>
    <row r="33" spans="1:12">
      <c r="A33" s="1089">
        <f t="shared" si="2"/>
        <v>19</v>
      </c>
      <c r="B33" s="1098" t="s">
        <v>569</v>
      </c>
      <c r="C33" s="1180">
        <v>313115042.35684597</v>
      </c>
      <c r="D33" s="1307">
        <v>0</v>
      </c>
      <c r="E33" s="1180">
        <v>3182853.4270922597</v>
      </c>
      <c r="F33" s="1307">
        <v>0</v>
      </c>
      <c r="G33" s="1393">
        <v>11856567.1930796</v>
      </c>
      <c r="H33"/>
      <c r="I33"/>
      <c r="J33"/>
      <c r="K33"/>
      <c r="L33" s="4"/>
    </row>
    <row r="34" spans="1:12">
      <c r="A34" s="1089">
        <f t="shared" si="2"/>
        <v>20</v>
      </c>
      <c r="B34" s="1098" t="s">
        <v>570</v>
      </c>
      <c r="C34" s="1180">
        <v>318969362.16874999</v>
      </c>
      <c r="D34" s="1307">
        <v>0</v>
      </c>
      <c r="E34" s="1180">
        <v>3260807.86415612</v>
      </c>
      <c r="F34" s="1307">
        <v>0</v>
      </c>
      <c r="G34" s="1393">
        <v>12350912.844608599</v>
      </c>
      <c r="H34"/>
      <c r="I34"/>
      <c r="J34"/>
      <c r="K34"/>
      <c r="L34" s="4"/>
    </row>
    <row r="35" spans="1:12">
      <c r="A35" s="1089">
        <f t="shared" si="2"/>
        <v>21</v>
      </c>
      <c r="B35" s="1098" t="s">
        <v>571</v>
      </c>
      <c r="C35" s="1180">
        <v>325061354.89095497</v>
      </c>
      <c r="D35" s="1307">
        <v>0</v>
      </c>
      <c r="E35" s="1180">
        <v>3306579.9003059701</v>
      </c>
      <c r="F35" s="1307">
        <v>0</v>
      </c>
      <c r="G35" s="1393">
        <v>11235914.139378499</v>
      </c>
      <c r="H35"/>
      <c r="I35"/>
      <c r="J35"/>
      <c r="K35"/>
      <c r="L35" s="4"/>
    </row>
    <row r="36" spans="1:12">
      <c r="A36" s="1089">
        <f t="shared" si="2"/>
        <v>22</v>
      </c>
      <c r="B36" s="1098" t="s">
        <v>572</v>
      </c>
      <c r="C36" s="1180">
        <v>331234829.16909897</v>
      </c>
      <c r="D36" s="1307">
        <v>0</v>
      </c>
      <c r="E36" s="1180">
        <v>3352642.6632907498</v>
      </c>
      <c r="F36" s="1307">
        <v>0</v>
      </c>
      <c r="G36" s="1393">
        <v>11696863.177738899</v>
      </c>
      <c r="H36"/>
      <c r="I36"/>
      <c r="J36"/>
      <c r="K36"/>
      <c r="L36" s="4"/>
    </row>
    <row r="37" spans="1:12">
      <c r="A37" s="1089">
        <f t="shared" si="2"/>
        <v>23</v>
      </c>
      <c r="B37" s="1098" t="s">
        <v>716</v>
      </c>
      <c r="C37" s="1180">
        <v>337447591.85067099</v>
      </c>
      <c r="D37" s="1307">
        <v>0</v>
      </c>
      <c r="E37" s="1180">
        <v>3399002.8174587102</v>
      </c>
      <c r="F37" s="1307">
        <v>0</v>
      </c>
      <c r="G37" s="1393">
        <v>12162366.3826965</v>
      </c>
      <c r="H37"/>
      <c r="I37"/>
      <c r="J37"/>
      <c r="K37"/>
      <c r="L37" s="4"/>
    </row>
    <row r="38" spans="1:12">
      <c r="A38" s="1089">
        <f t="shared" si="2"/>
        <v>24</v>
      </c>
      <c r="B38" s="1098" t="s">
        <v>574</v>
      </c>
      <c r="C38" s="1180">
        <v>343662166.62612695</v>
      </c>
      <c r="D38" s="1307">
        <v>0</v>
      </c>
      <c r="E38" s="1180">
        <v>3445667.1173460698</v>
      </c>
      <c r="F38" s="1307">
        <v>0</v>
      </c>
      <c r="G38" s="1393">
        <v>11773234.0799083</v>
      </c>
      <c r="H38"/>
      <c r="I38"/>
      <c r="J38"/>
      <c r="K38"/>
      <c r="L38" s="4"/>
    </row>
    <row r="39" spans="1:12">
      <c r="A39" s="1089">
        <f t="shared" si="2"/>
        <v>25</v>
      </c>
      <c r="B39" s="1098" t="s">
        <v>575</v>
      </c>
      <c r="C39" s="1180">
        <v>349880506.07155097</v>
      </c>
      <c r="D39" s="1307">
        <v>0</v>
      </c>
      <c r="E39" s="1180">
        <v>3584655.9189249901</v>
      </c>
      <c r="F39" s="1307">
        <v>0</v>
      </c>
      <c r="G39" s="1393">
        <v>12233855.761256499</v>
      </c>
      <c r="H39"/>
      <c r="I39"/>
      <c r="J39"/>
      <c r="K39"/>
      <c r="L39" s="4"/>
    </row>
    <row r="40" spans="1:12">
      <c r="A40" s="1089">
        <f t="shared" si="2"/>
        <v>26</v>
      </c>
      <c r="B40" s="1098" t="s">
        <v>576</v>
      </c>
      <c r="C40" s="1180">
        <v>356147199.835006</v>
      </c>
      <c r="D40" s="1307">
        <v>0</v>
      </c>
      <c r="E40" s="1180">
        <v>3723942.8914559702</v>
      </c>
      <c r="F40" s="1307">
        <v>0</v>
      </c>
      <c r="G40" s="1393">
        <v>12699234.165220799</v>
      </c>
      <c r="H40"/>
      <c r="I40"/>
      <c r="J40"/>
      <c r="K40"/>
      <c r="L40" s="4"/>
    </row>
    <row r="41" spans="1:12">
      <c r="A41" s="1099">
        <f t="shared" si="2"/>
        <v>27</v>
      </c>
      <c r="B41" s="1100" t="s">
        <v>717</v>
      </c>
      <c r="C41" s="1180">
        <v>362534467.81356698</v>
      </c>
      <c r="D41" s="1097">
        <v>0</v>
      </c>
      <c r="E41" s="1180">
        <v>3863521.2323131999</v>
      </c>
      <c r="F41" s="1097">
        <v>0</v>
      </c>
      <c r="G41" s="1401">
        <v>11910942.051944999</v>
      </c>
      <c r="H41"/>
      <c r="I41"/>
      <c r="J41"/>
      <c r="K41"/>
      <c r="L41" s="4"/>
    </row>
    <row r="42" spans="1:12" ht="13.5" thickBot="1">
      <c r="A42" s="1108">
        <f t="shared" si="2"/>
        <v>28</v>
      </c>
      <c r="B42" s="1109" t="s">
        <v>718</v>
      </c>
      <c r="C42" s="1102">
        <f t="shared" ref="C42:G42" si="3">SUM(C29:C41)/13</f>
        <v>325608638.51788205</v>
      </c>
      <c r="D42" s="1102">
        <f t="shared" si="3"/>
        <v>0</v>
      </c>
      <c r="E42" s="1102">
        <f t="shared" si="3"/>
        <v>3312707.1018689778</v>
      </c>
      <c r="F42" s="1102">
        <f t="shared" si="3"/>
        <v>0</v>
      </c>
      <c r="G42" s="1102">
        <f t="shared" si="3"/>
        <v>11683003.068966862</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61"/>
    </row>
    <row r="46" spans="1:12" ht="72" customHeight="1">
      <c r="A46" s="1114" t="s">
        <v>702</v>
      </c>
      <c r="B46" s="1091" t="s">
        <v>703</v>
      </c>
      <c r="C46" s="1115" t="s">
        <v>721</v>
      </c>
      <c r="D46" s="1086" t="s">
        <v>722</v>
      </c>
      <c r="E46" s="1086" t="s">
        <v>723</v>
      </c>
      <c r="F46" s="1107" t="s">
        <v>724</v>
      </c>
    </row>
    <row r="47" spans="1:12" s="1093" customFormat="1">
      <c r="A47" s="1089"/>
      <c r="B47" s="1091" t="s">
        <v>707</v>
      </c>
      <c r="C47" s="1116" t="s">
        <v>725</v>
      </c>
      <c r="D47" s="1091" t="s">
        <v>726</v>
      </c>
      <c r="E47" s="1091" t="s">
        <v>708</v>
      </c>
      <c r="F47" s="1090" t="s">
        <v>709</v>
      </c>
    </row>
    <row r="48" spans="1:12" s="1093" customFormat="1" ht="51">
      <c r="A48" s="1089"/>
      <c r="B48" s="1091" t="s">
        <v>713</v>
      </c>
      <c r="C48" s="1117" t="str">
        <f>"Company Records (included in total in column "&amp;C8&amp;" of gross plant above)"</f>
        <v>Company Records (included in total in column (d) of gross plant above)</v>
      </c>
      <c r="D48" s="1117" t="str">
        <f>"Company Records (included in total in column "&amp;C27&amp;" of accumulated depreciation above)"</f>
        <v>Company Records (included in total in column (d) of accumulated depreciation above)</v>
      </c>
      <c r="E48" s="1118" t="s">
        <v>720</v>
      </c>
      <c r="F48" s="1162" t="s">
        <v>720</v>
      </c>
    </row>
    <row r="49" spans="1:11">
      <c r="A49" s="1089">
        <f>+A42+1</f>
        <v>29</v>
      </c>
      <c r="B49" s="1119" t="s">
        <v>714</v>
      </c>
      <c r="C49" s="1120">
        <v>0</v>
      </c>
      <c r="D49" s="1097">
        <v>0</v>
      </c>
      <c r="E49" s="1097">
        <v>0</v>
      </c>
      <c r="F49" s="1163">
        <v>0</v>
      </c>
    </row>
    <row r="50" spans="1:11">
      <c r="A50" s="1089">
        <f>+A49+1</f>
        <v>30</v>
      </c>
      <c r="B50" s="1119" t="s">
        <v>566</v>
      </c>
      <c r="C50" s="1308">
        <v>0</v>
      </c>
      <c r="D50" s="1307">
        <v>0</v>
      </c>
      <c r="E50" s="1307">
        <v>0</v>
      </c>
      <c r="F50" s="1163">
        <v>0</v>
      </c>
    </row>
    <row r="51" spans="1:11">
      <c r="A51" s="1089">
        <f t="shared" ref="A51:A62" si="4">+A50+1</f>
        <v>31</v>
      </c>
      <c r="B51" s="1121" t="s">
        <v>567</v>
      </c>
      <c r="C51" s="1308">
        <v>0</v>
      </c>
      <c r="D51" s="1307">
        <v>0</v>
      </c>
      <c r="E51" s="1307">
        <v>0</v>
      </c>
      <c r="F51" s="1163">
        <v>0</v>
      </c>
    </row>
    <row r="52" spans="1:11">
      <c r="A52" s="1089">
        <f t="shared" si="4"/>
        <v>32</v>
      </c>
      <c r="B52" s="1121" t="s">
        <v>715</v>
      </c>
      <c r="C52" s="1308">
        <v>0</v>
      </c>
      <c r="D52" s="1307">
        <v>0</v>
      </c>
      <c r="E52" s="1307">
        <v>0</v>
      </c>
      <c r="F52" s="1163">
        <v>0</v>
      </c>
    </row>
    <row r="53" spans="1:11">
      <c r="A53" s="1089">
        <f t="shared" si="4"/>
        <v>33</v>
      </c>
      <c r="B53" s="1121" t="s">
        <v>569</v>
      </c>
      <c r="C53" s="1308">
        <v>0</v>
      </c>
      <c r="D53" s="1307">
        <v>0</v>
      </c>
      <c r="E53" s="1307">
        <v>0</v>
      </c>
      <c r="F53" s="1163">
        <v>0</v>
      </c>
    </row>
    <row r="54" spans="1:11">
      <c r="A54" s="1089">
        <f t="shared" si="4"/>
        <v>34</v>
      </c>
      <c r="B54" s="1121" t="s">
        <v>570</v>
      </c>
      <c r="C54" s="1308">
        <v>0</v>
      </c>
      <c r="D54" s="1307">
        <v>0</v>
      </c>
      <c r="E54" s="1307">
        <v>0</v>
      </c>
      <c r="F54" s="1163">
        <v>0</v>
      </c>
    </row>
    <row r="55" spans="1:11">
      <c r="A55" s="1089">
        <f t="shared" si="4"/>
        <v>35</v>
      </c>
      <c r="B55" s="1121" t="s">
        <v>571</v>
      </c>
      <c r="C55" s="1308">
        <v>0</v>
      </c>
      <c r="D55" s="1307">
        <v>0</v>
      </c>
      <c r="E55" s="1307">
        <v>0</v>
      </c>
      <c r="F55" s="1163">
        <v>0</v>
      </c>
    </row>
    <row r="56" spans="1:11">
      <c r="A56" s="1089">
        <f t="shared" si="4"/>
        <v>36</v>
      </c>
      <c r="B56" s="1121" t="s">
        <v>572</v>
      </c>
      <c r="C56" s="1308">
        <v>0</v>
      </c>
      <c r="D56" s="1307">
        <v>0</v>
      </c>
      <c r="E56" s="1307">
        <v>0</v>
      </c>
      <c r="F56" s="1163">
        <v>0</v>
      </c>
    </row>
    <row r="57" spans="1:11">
      <c r="A57" s="1089">
        <f t="shared" si="4"/>
        <v>37</v>
      </c>
      <c r="B57" s="1121" t="s">
        <v>716</v>
      </c>
      <c r="C57" s="1308">
        <v>0</v>
      </c>
      <c r="D57" s="1307">
        <v>0</v>
      </c>
      <c r="E57" s="1307">
        <v>0</v>
      </c>
      <c r="F57" s="1163">
        <v>0</v>
      </c>
    </row>
    <row r="58" spans="1:11">
      <c r="A58" s="1089">
        <f t="shared" si="4"/>
        <v>38</v>
      </c>
      <c r="B58" s="1121" t="s">
        <v>574</v>
      </c>
      <c r="C58" s="1308">
        <v>0</v>
      </c>
      <c r="D58" s="1307">
        <v>0</v>
      </c>
      <c r="E58" s="1307">
        <v>0</v>
      </c>
      <c r="F58" s="1163">
        <v>0</v>
      </c>
    </row>
    <row r="59" spans="1:11">
      <c r="A59" s="1089">
        <f t="shared" si="4"/>
        <v>39</v>
      </c>
      <c r="B59" s="1121" t="s">
        <v>575</v>
      </c>
      <c r="C59" s="1308">
        <v>0</v>
      </c>
      <c r="D59" s="1307">
        <v>0</v>
      </c>
      <c r="E59" s="1307">
        <v>0</v>
      </c>
      <c r="F59" s="1163">
        <v>0</v>
      </c>
    </row>
    <row r="60" spans="1:11">
      <c r="A60" s="1089">
        <f t="shared" si="4"/>
        <v>40</v>
      </c>
      <c r="B60" s="1121" t="s">
        <v>576</v>
      </c>
      <c r="C60" s="1308">
        <v>0</v>
      </c>
      <c r="D60" s="1307">
        <v>0</v>
      </c>
      <c r="E60" s="1307">
        <v>0</v>
      </c>
      <c r="F60" s="1163">
        <v>0</v>
      </c>
    </row>
    <row r="61" spans="1:11">
      <c r="A61" s="1099">
        <f t="shared" si="4"/>
        <v>41</v>
      </c>
      <c r="B61" s="1122" t="s">
        <v>717</v>
      </c>
      <c r="C61" s="1123">
        <v>0</v>
      </c>
      <c r="D61" s="1097">
        <v>0</v>
      </c>
      <c r="E61" s="1097">
        <v>0</v>
      </c>
      <c r="F61" s="1163">
        <v>0</v>
      </c>
    </row>
    <row r="62" spans="1:11" ht="13.5" thickBot="1">
      <c r="A62" s="1124">
        <f t="shared" si="4"/>
        <v>42</v>
      </c>
      <c r="B62" s="1109" t="s">
        <v>718</v>
      </c>
      <c r="C62" s="1102">
        <f>SUM(C49:C61)/13</f>
        <v>0</v>
      </c>
      <c r="D62" s="1102">
        <f>SUM(D49:D61)/13</f>
        <v>0</v>
      </c>
      <c r="E62" s="1102">
        <f>SUM(E49:E61)/13</f>
        <v>0</v>
      </c>
      <c r="F62" s="1103">
        <f>SUM(F49:F61)/13</f>
        <v>0</v>
      </c>
    </row>
    <row r="63" spans="1:11" ht="13.5" thickTop="1">
      <c r="A63" s="1077"/>
      <c r="B63" s="1104"/>
      <c r="I63" s="1106"/>
      <c r="K63" s="4"/>
    </row>
    <row r="64" spans="1:11">
      <c r="A64" s="1077">
        <v>43</v>
      </c>
      <c r="B64" s="1473" t="s">
        <v>987</v>
      </c>
      <c r="C64" s="1126">
        <f>+C42-D62-F62</f>
        <v>325608638.51788205</v>
      </c>
      <c r="I64" s="1106"/>
      <c r="K64" s="4"/>
    </row>
    <row r="65" spans="1:6" customFormat="1">
      <c r="B65" s="1473"/>
    </row>
    <row r="66" spans="1:6" customFormat="1"/>
    <row r="67" spans="1:6" customFormat="1" ht="25.5">
      <c r="A67" s="1128" t="s">
        <v>322</v>
      </c>
      <c r="B67" s="1129"/>
      <c r="C67" s="1130" t="s">
        <v>320</v>
      </c>
      <c r="D67" s="1131" t="str">
        <f>"Balance @ December 31, "&amp;TCOS!L4&amp;""</f>
        <v>Balance @ December 31, 2025</v>
      </c>
      <c r="E67" s="1132" t="str">
        <f>"Balance @ December 31, "&amp;TCOS!L4-1&amp;""</f>
        <v>Balance @ December 31, 2024</v>
      </c>
      <c r="F67" s="1132" t="str">
        <f>"Average Balance for "&amp;TCOS!L4&amp;""</f>
        <v>Average Balance for 2025</v>
      </c>
    </row>
    <row r="68" spans="1:6" customFormat="1">
      <c r="A68" s="1133"/>
      <c r="B68" s="1091" t="s">
        <v>707</v>
      </c>
      <c r="C68" s="1091" t="s">
        <v>725</v>
      </c>
      <c r="D68" s="1091" t="s">
        <v>726</v>
      </c>
      <c r="E68" s="1091" t="s">
        <v>708</v>
      </c>
      <c r="F68" s="1091" t="s">
        <v>709</v>
      </c>
    </row>
    <row r="69" spans="1:6" customFormat="1">
      <c r="A69" s="1134">
        <f>+A64+1</f>
        <v>44</v>
      </c>
      <c r="B69" s="1133" t="s">
        <v>322</v>
      </c>
      <c r="C69" s="1135" t="s">
        <v>169</v>
      </c>
      <c r="D69" s="441">
        <v>0</v>
      </c>
      <c r="E69" s="441">
        <v>0</v>
      </c>
      <c r="F69" s="1136">
        <f>IF(E69="",0,AVERAGE(D69:E69))</f>
        <v>0</v>
      </c>
    </row>
    <row r="70" spans="1:6" customFormat="1">
      <c r="A70" s="1137"/>
      <c r="B70" s="1138"/>
      <c r="C70" s="1138"/>
      <c r="F70" s="1139"/>
    </row>
    <row r="71" spans="1:6" customFormat="1">
      <c r="A71" s="1134">
        <f>+A69+1</f>
        <v>45</v>
      </c>
      <c r="B71" s="1133" t="s">
        <v>778</v>
      </c>
      <c r="C71" s="1140" t="s">
        <v>326</v>
      </c>
      <c r="D71" s="441">
        <v>0</v>
      </c>
      <c r="E71" s="441">
        <v>0</v>
      </c>
      <c r="F71" s="1136">
        <f>IF(E71="",0,AVERAGE(D71:E71))</f>
        <v>0</v>
      </c>
    </row>
    <row r="72" spans="1:6" customFormat="1">
      <c r="A72" s="4"/>
      <c r="B72" s="4"/>
      <c r="C72" s="4"/>
      <c r="D72" s="4"/>
    </row>
    <row r="73" spans="1:6" customFormat="1">
      <c r="A73" s="1133" t="s">
        <v>21</v>
      </c>
      <c r="B73" s="4"/>
      <c r="C73" s="4"/>
      <c r="D73" s="4"/>
    </row>
    <row r="74" spans="1:6" customFormat="1">
      <c r="A74" s="1141"/>
      <c r="B74" s="1138" t="s">
        <v>155</v>
      </c>
      <c r="C74" s="1138"/>
      <c r="D74" s="1138"/>
      <c r="E74" s="1138"/>
      <c r="F74" s="1138"/>
    </row>
    <row r="75" spans="1:6" customFormat="1">
      <c r="A75" s="1134">
        <f>+A71+1</f>
        <v>46</v>
      </c>
      <c r="B75" s="1142"/>
      <c r="C75" s="1142"/>
      <c r="D75" s="441"/>
      <c r="E75" s="441"/>
      <c r="F75" s="1136">
        <f>IF(E75="",0,AVERAGE(D75:E75))</f>
        <v>0</v>
      </c>
    </row>
    <row r="76" spans="1:6" customFormat="1">
      <c r="A76" s="1134">
        <f>+A75+1</f>
        <v>47</v>
      </c>
      <c r="B76" s="1142"/>
      <c r="C76" s="1142"/>
      <c r="D76" s="441"/>
      <c r="E76" s="441"/>
      <c r="F76" s="1136">
        <f>IF(E76="",0,AVERAGE(D76:E76))</f>
        <v>0</v>
      </c>
    </row>
    <row r="77" spans="1:6" customFormat="1">
      <c r="A77" s="1134">
        <f>+A76+1</f>
        <v>48</v>
      </c>
      <c r="B77" s="1142"/>
      <c r="C77" s="1142"/>
      <c r="D77" s="441"/>
      <c r="E77" s="441"/>
      <c r="F77" s="1136">
        <f>IF(E77="",0,AVERAGE(D77:E77))</f>
        <v>0</v>
      </c>
    </row>
    <row r="78" spans="1:6" customFormat="1">
      <c r="A78" s="1134">
        <f>+A77+1</f>
        <v>49</v>
      </c>
      <c r="B78" s="1142"/>
      <c r="C78" s="1142"/>
      <c r="D78" s="441"/>
      <c r="E78" s="441"/>
      <c r="F78" s="1136">
        <f>IF(E78="",0,AVERAGE(D78:E78))</f>
        <v>0</v>
      </c>
    </row>
    <row r="79" spans="1:6" customFormat="1">
      <c r="A79" s="1134">
        <f>+A78+1</f>
        <v>50</v>
      </c>
      <c r="B79" s="1142"/>
      <c r="C79" s="1142"/>
      <c r="D79" s="1143"/>
      <c r="E79" s="1143"/>
      <c r="F79" s="1144">
        <f>IF(E79="",0,AVERAGE(D79:E79))</f>
        <v>0</v>
      </c>
    </row>
    <row r="80" spans="1:6" customFormat="1" ht="18" customHeight="1">
      <c r="A80" s="1134">
        <f>+A79+1</f>
        <v>51</v>
      </c>
      <c r="B80" s="1138" t="s">
        <v>727</v>
      </c>
      <c r="C80" s="1138"/>
      <c r="D80" s="1145">
        <f>SUM(D75:D79)</f>
        <v>0</v>
      </c>
      <c r="E80" s="1145">
        <f>SUM(E75:E79)</f>
        <v>0</v>
      </c>
      <c r="F80" s="1145">
        <f>SUM(F75:F79)</f>
        <v>0</v>
      </c>
    </row>
    <row r="81" spans="1:6" customFormat="1" ht="17.25" customHeight="1">
      <c r="A81" s="1134"/>
      <c r="B81" s="1138"/>
      <c r="C81" s="1138"/>
      <c r="D81" s="1145"/>
      <c r="E81" s="1145"/>
      <c r="F81" s="1145"/>
    </row>
    <row r="82" spans="1:6" customFormat="1" ht="18.75" customHeight="1">
      <c r="A82" s="1133" t="s">
        <v>728</v>
      </c>
      <c r="B82" s="1146"/>
      <c r="C82" s="1146"/>
      <c r="D82" s="1146"/>
      <c r="E82" s="1138"/>
      <c r="F82" s="1138"/>
    </row>
    <row r="83" spans="1:6" customFormat="1" ht="31.5" customHeight="1">
      <c r="A83" s="1129"/>
      <c r="B83" s="1147"/>
      <c r="C83" s="1148"/>
      <c r="D83" s="5"/>
      <c r="E83" s="1138"/>
      <c r="F83" s="1138"/>
    </row>
    <row r="84" spans="1:6" customFormat="1" ht="21.75" customHeight="1">
      <c r="A84" s="1129">
        <f>+A80+1</f>
        <v>52</v>
      </c>
      <c r="B84" s="1149" t="s">
        <v>457</v>
      </c>
      <c r="C84" s="1149" t="s">
        <v>102</v>
      </c>
      <c r="D84" s="1150"/>
      <c r="E84" s="9"/>
      <c r="F84" s="1149"/>
    </row>
    <row r="85" spans="1:6" customFormat="1" ht="14.25">
      <c r="A85" s="1151" t="s">
        <v>729</v>
      </c>
      <c r="B85" s="1152"/>
      <c r="C85" s="1153"/>
      <c r="D85" s="441"/>
      <c r="E85" s="441"/>
      <c r="F85" s="1154">
        <f>IF(E85="",0,AVERAGE(D85:E85))</f>
        <v>0</v>
      </c>
    </row>
    <row r="86" spans="1:6" customFormat="1" ht="14.25">
      <c r="A86" s="1155" t="s">
        <v>730</v>
      </c>
      <c r="B86" s="441"/>
      <c r="C86" s="1153"/>
      <c r="D86" s="441"/>
      <c r="E86" s="441"/>
      <c r="F86" s="1156">
        <f>IF(E86="",0,AVERAGE(D86:E86))</f>
        <v>0</v>
      </c>
    </row>
    <row r="87" spans="1:6" customFormat="1" ht="18" customHeight="1">
      <c r="A87" s="1157">
        <f>A84+2</f>
        <v>54</v>
      </c>
      <c r="B87" s="9"/>
      <c r="C87" s="1158" t="s">
        <v>410</v>
      </c>
      <c r="D87" s="1126">
        <f>SUM(D85:D86)</f>
        <v>0</v>
      </c>
      <c r="E87" s="1126">
        <f>SUM(E85:E86)</f>
        <v>0</v>
      </c>
      <c r="F87" s="1126">
        <f>SUM(F85:F86)</f>
        <v>0</v>
      </c>
    </row>
    <row r="88" spans="1:6" customFormat="1">
      <c r="A88" s="1134"/>
      <c r="B88" s="1138"/>
      <c r="C88" s="1138"/>
      <c r="D88" s="1138"/>
    </row>
    <row r="89" spans="1:6">
      <c r="A89" s="1159" t="s">
        <v>731</v>
      </c>
      <c r="B89" s="1138"/>
      <c r="C89" s="1138"/>
      <c r="D89" s="1138"/>
    </row>
    <row r="90" spans="1:6">
      <c r="A90" s="1159" t="s">
        <v>732</v>
      </c>
      <c r="B90" s="1138"/>
      <c r="C90" s="1138"/>
      <c r="D90" s="1138"/>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view="pageBreakPreview" zoomScale="60" zoomScaleNormal="81" workbookViewId="0">
      <selection sqref="A1:A2"/>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row>
    <row r="2" spans="1:21" ht="15.75">
      <c r="A2" s="1006"/>
    </row>
    <row r="3" spans="1:21" ht="18">
      <c r="A3" s="1525" t="str">
        <f>TCOS!$F$5</f>
        <v>AEPTCo subsidiaries in PJM</v>
      </c>
      <c r="B3" s="1525" t="str">
        <f>TCOS!$F$5</f>
        <v>AEPTCo subsidiaries in PJM</v>
      </c>
      <c r="C3" s="1525" t="str">
        <f>TCOS!$F$5</f>
        <v>AEPTCo subsidiaries in PJM</v>
      </c>
      <c r="D3" s="1525" t="str">
        <f>TCOS!$F$5</f>
        <v>AEPTCo subsidiaries in PJM</v>
      </c>
      <c r="E3" s="1525" t="str">
        <f>TCOS!$F$5</f>
        <v>AEPTCo subsidiaries in PJM</v>
      </c>
      <c r="F3" s="1525" t="str">
        <f>TCOS!$F$5</f>
        <v>AEPTCo subsidiaries in PJM</v>
      </c>
      <c r="G3" s="1525" t="str">
        <f>TCOS!$F$5</f>
        <v>AEPTCo subsidiaries in PJM</v>
      </c>
      <c r="H3" s="1525" t="str">
        <f>TCOS!$F$5</f>
        <v>AEPTCo subsidiaries in PJM</v>
      </c>
      <c r="I3" s="1525" t="str">
        <f>TCOS!$F$5</f>
        <v>AEPTCo subsidiaries in PJM</v>
      </c>
      <c r="J3" s="1525" t="str">
        <f>TCOS!$F$5</f>
        <v>AEPTCo subsidiaries in PJM</v>
      </c>
      <c r="K3" s="1525" t="str">
        <f>TCOS!$F$5</f>
        <v>AEPTCo subsidiaries in PJM</v>
      </c>
      <c r="L3" s="1525" t="str">
        <f>TCOS!$F$5</f>
        <v>AEPTCo subsidiaries in PJM</v>
      </c>
      <c r="M3" s="1525" t="str">
        <f>TCOS!$F$5</f>
        <v>AEPTCo subsidiaries in PJM</v>
      </c>
      <c r="N3" s="1525" t="str">
        <f>TCOS!$F$5</f>
        <v>AEPTCo subsidiaries in PJM</v>
      </c>
      <c r="O3" s="1525" t="str">
        <f>TCOS!$F$5</f>
        <v>AEPTCo subsidiaries in PJM</v>
      </c>
    </row>
    <row r="4" spans="1:21" ht="18">
      <c r="A4" s="1524" t="str">
        <f>"Cost of Service Formula Rate Using Actual/Projected FF1 Balances"</f>
        <v>Cost of Service Formula Rate Using Actual/Projected FF1 Balances</v>
      </c>
      <c r="B4" s="1524"/>
      <c r="C4" s="1524"/>
      <c r="D4" s="1524"/>
      <c r="E4" s="1524"/>
      <c r="F4" s="1524"/>
      <c r="G4" s="1524"/>
      <c r="H4" s="1524"/>
      <c r="I4" s="1524"/>
      <c r="J4" s="1524"/>
      <c r="K4" s="1524"/>
      <c r="L4" s="1524"/>
      <c r="M4" s="1524"/>
      <c r="N4" s="1524"/>
      <c r="O4" s="1524"/>
    </row>
    <row r="5" spans="1:21" ht="18">
      <c r="A5" s="1524" t="s">
        <v>24</v>
      </c>
      <c r="B5" s="1524"/>
      <c r="C5" s="1524"/>
      <c r="D5" s="1524"/>
      <c r="E5" s="1524"/>
      <c r="F5" s="1524"/>
      <c r="G5" s="1524"/>
      <c r="H5" s="1524"/>
      <c r="I5" s="1524"/>
      <c r="J5" s="1524"/>
      <c r="K5" s="1524"/>
      <c r="L5" s="1524"/>
      <c r="M5" s="1524"/>
      <c r="N5" s="1524"/>
      <c r="O5" s="1524"/>
    </row>
    <row r="6" spans="1:21" ht="18">
      <c r="A6" s="1516" t="str">
        <f>+TCOS!F9</f>
        <v>West Virginia Transmission Company</v>
      </c>
      <c r="B6" s="1516"/>
      <c r="C6" s="1516"/>
      <c r="D6" s="1516"/>
      <c r="E6" s="1516"/>
      <c r="F6" s="1516"/>
      <c r="G6" s="1516"/>
      <c r="H6" s="1516"/>
      <c r="I6" s="1516"/>
      <c r="J6" s="1516"/>
      <c r="K6" s="1516"/>
      <c r="L6" s="1516"/>
      <c r="M6" s="1516"/>
      <c r="N6" s="1516"/>
      <c r="O6" s="1516"/>
    </row>
    <row r="7" spans="1:21" ht="12.75" customHeight="1">
      <c r="A7" s="81"/>
      <c r="B7" s="81"/>
      <c r="C7" s="81"/>
      <c r="D7" s="81"/>
      <c r="E7" s="81"/>
      <c r="F7" s="81"/>
      <c r="G7" s="81"/>
      <c r="H7" s="81"/>
      <c r="I7" s="81"/>
      <c r="J7" s="81"/>
      <c r="K7" s="81"/>
      <c r="L7" s="81"/>
    </row>
    <row r="8" spans="1:21" ht="12.75" customHeight="1">
      <c r="A8" s="1552" t="s">
        <v>16</v>
      </c>
      <c r="B8" s="1552"/>
      <c r="C8" s="1552"/>
      <c r="D8" s="1552"/>
      <c r="E8" s="1552"/>
      <c r="F8" s="1552"/>
      <c r="G8" s="1552"/>
      <c r="H8" s="1552"/>
      <c r="I8" s="1552"/>
      <c r="J8" s="1552"/>
      <c r="K8" s="1552"/>
      <c r="L8" s="1552"/>
      <c r="M8" s="1552"/>
      <c r="N8" s="1552"/>
      <c r="O8" s="1552"/>
    </row>
    <row r="9" spans="1:21" ht="12.75" customHeight="1">
      <c r="A9" s="1552"/>
      <c r="B9" s="1552"/>
      <c r="C9" s="1552"/>
      <c r="D9" s="1552"/>
      <c r="E9" s="1552"/>
      <c r="F9" s="1552"/>
      <c r="G9" s="1552"/>
      <c r="H9" s="1552"/>
      <c r="I9" s="1552"/>
      <c r="J9" s="1552"/>
      <c r="K9" s="1552"/>
      <c r="L9" s="1552"/>
      <c r="M9" s="1552"/>
      <c r="N9" s="1552"/>
      <c r="O9" s="1552"/>
    </row>
    <row r="10" spans="1:21">
      <c r="A10" s="1552"/>
      <c r="B10" s="1552"/>
      <c r="C10" s="1552"/>
      <c r="D10" s="1552"/>
      <c r="E10" s="1552"/>
      <c r="F10" s="1552"/>
      <c r="G10" s="1552"/>
      <c r="H10" s="1552"/>
      <c r="I10" s="1552"/>
      <c r="J10" s="1552"/>
      <c r="K10" s="1552"/>
      <c r="L10" s="1552"/>
      <c r="M10" s="1552"/>
      <c r="N10" s="1552"/>
      <c r="O10" s="1552"/>
    </row>
    <row r="11" spans="1:21">
      <c r="A11" s="1552"/>
      <c r="B11" s="1552"/>
      <c r="C11" s="1552"/>
      <c r="D11" s="1552"/>
      <c r="E11" s="1552"/>
      <c r="F11" s="1552"/>
      <c r="G11" s="1552"/>
      <c r="H11" s="1552"/>
      <c r="I11" s="1552"/>
      <c r="J11" s="1552"/>
      <c r="K11" s="1552"/>
      <c r="L11" s="1552"/>
      <c r="M11" s="1552"/>
      <c r="N11" s="1552"/>
      <c r="O11" s="1552"/>
    </row>
    <row r="12" spans="1:21">
      <c r="B12" s="1" t="s">
        <v>452</v>
      </c>
      <c r="C12" s="1"/>
      <c r="D12" s="1523" t="s">
        <v>453</v>
      </c>
      <c r="E12" s="1523"/>
      <c r="F12" s="1523"/>
      <c r="G12" s="1523"/>
      <c r="H12" s="1"/>
      <c r="I12" s="1" t="s">
        <v>323</v>
      </c>
      <c r="J12" s="1"/>
      <c r="K12" s="1" t="s">
        <v>455</v>
      </c>
      <c r="L12" s="1"/>
      <c r="M12" s="1" t="s">
        <v>375</v>
      </c>
      <c r="N12" s="1"/>
      <c r="O12" s="1" t="s">
        <v>376</v>
      </c>
      <c r="P12" s="1"/>
      <c r="Q12" s="1" t="s">
        <v>349</v>
      </c>
      <c r="R12" s="1"/>
      <c r="S12" s="1" t="s">
        <v>382</v>
      </c>
      <c r="U12" s="56" t="s">
        <v>288</v>
      </c>
    </row>
    <row r="13" spans="1:21">
      <c r="I13" s="1550" t="s">
        <v>347</v>
      </c>
      <c r="Q13" s="1553" t="s">
        <v>348</v>
      </c>
      <c r="S13" s="1550" t="s">
        <v>350</v>
      </c>
      <c r="U13" s="139" t="s">
        <v>265</v>
      </c>
    </row>
    <row r="14" spans="1:21">
      <c r="A14" s="84" t="s">
        <v>346</v>
      </c>
      <c r="B14" s="84" t="s">
        <v>342</v>
      </c>
      <c r="C14" s="84"/>
      <c r="D14" s="102" t="s">
        <v>343</v>
      </c>
      <c r="E14" s="84"/>
      <c r="F14" s="84"/>
      <c r="G14" s="84"/>
      <c r="H14" s="84"/>
      <c r="I14" s="1551"/>
      <c r="J14" s="84"/>
      <c r="K14" s="84" t="s">
        <v>344</v>
      </c>
      <c r="L14" s="84"/>
      <c r="M14" s="84" t="s">
        <v>345</v>
      </c>
      <c r="N14" s="84"/>
      <c r="O14" s="84" t="s">
        <v>282</v>
      </c>
      <c r="Q14" s="1553"/>
      <c r="S14" s="1550"/>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7"/>
      <c r="D17" s="1554"/>
      <c r="E17" s="1554"/>
      <c r="F17" s="1554"/>
      <c r="G17" s="1554"/>
      <c r="I17" s="858"/>
      <c r="K17" s="856"/>
      <c r="L17" s="75"/>
      <c r="M17" s="856"/>
      <c r="O17" s="88">
        <f>+K17-M17</f>
        <v>0</v>
      </c>
      <c r="Q17" s="104">
        <f>IF(I17="G",TCOS!L219,IF(I17="T",1,0))</f>
        <v>0</v>
      </c>
      <c r="S17" s="88">
        <f>ROUND(O17*Q17,0)</f>
        <v>0</v>
      </c>
      <c r="U17" s="859"/>
    </row>
    <row r="18" spans="1:21">
      <c r="A18" s="1"/>
      <c r="D18" s="1554"/>
      <c r="E18" s="1554"/>
      <c r="F18" s="1554"/>
      <c r="G18" s="1554"/>
      <c r="K18" s="75"/>
      <c r="L18" s="75"/>
      <c r="M18" s="75"/>
      <c r="O18" s="75"/>
      <c r="Q18" s="104"/>
      <c r="S18" s="75"/>
    </row>
    <row r="19" spans="1:21">
      <c r="A19" s="1"/>
      <c r="D19" s="1554"/>
      <c r="E19" s="1554"/>
      <c r="F19" s="1554"/>
      <c r="G19" s="155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7"/>
      <c r="D22" s="1554"/>
      <c r="E22" s="1554"/>
      <c r="F22" s="1554"/>
      <c r="G22" s="1554"/>
      <c r="I22" s="858"/>
      <c r="K22" s="856"/>
      <c r="L22" s="75"/>
      <c r="M22" s="856"/>
      <c r="O22" s="88">
        <f>+K22-M22</f>
        <v>0</v>
      </c>
      <c r="Q22" s="104">
        <f>IF(I22="G",TCOS!L219,IF(I22="T",1,0))</f>
        <v>0</v>
      </c>
      <c r="S22" s="88">
        <f>ROUND(O22*Q22,0)</f>
        <v>0</v>
      </c>
      <c r="U22" s="859"/>
    </row>
    <row r="23" spans="1:21">
      <c r="A23" s="1"/>
      <c r="D23" s="1554"/>
      <c r="E23" s="1554"/>
      <c r="F23" s="1554"/>
      <c r="G23" s="1554"/>
      <c r="K23" s="75"/>
      <c r="L23" s="75"/>
      <c r="M23" s="75"/>
      <c r="O23" s="75"/>
      <c r="Q23" s="104"/>
      <c r="S23" s="75"/>
    </row>
    <row r="24" spans="1:21">
      <c r="A24" s="1"/>
      <c r="D24" s="1554"/>
      <c r="E24" s="1554"/>
      <c r="F24" s="1554"/>
      <c r="G24" s="155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7"/>
      <c r="D27" s="1554"/>
      <c r="E27" s="1554"/>
      <c r="F27" s="1554"/>
      <c r="G27" s="1554"/>
      <c r="I27" s="858"/>
      <c r="K27" s="856"/>
      <c r="L27" s="75"/>
      <c r="M27" s="856"/>
      <c r="O27" s="88">
        <f>+K27-M27</f>
        <v>0</v>
      </c>
      <c r="Q27" s="104">
        <f>IF(I27="G",TCOS!L219,IF(I27="T",1,0))</f>
        <v>0</v>
      </c>
      <c r="S27" s="88">
        <f>ROUND(O27*Q27,0)</f>
        <v>0</v>
      </c>
      <c r="U27" s="859"/>
    </row>
    <row r="28" spans="1:21">
      <c r="A28" s="1"/>
      <c r="D28" s="1554"/>
      <c r="E28" s="1554"/>
      <c r="F28" s="1554"/>
      <c r="G28" s="1554"/>
      <c r="K28" s="75"/>
      <c r="L28" s="75"/>
      <c r="M28" s="75"/>
      <c r="O28" s="75"/>
      <c r="Q28" s="104"/>
      <c r="S28" s="75"/>
    </row>
    <row r="29" spans="1:21">
      <c r="A29" s="1"/>
      <c r="D29" s="1554"/>
      <c r="E29" s="1554"/>
      <c r="F29" s="1554"/>
      <c r="G29" s="155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9"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zoomScale="90" zoomScaleNormal="80" zoomScaleSheetLayoutView="90" workbookViewId="0">
      <selection activeCell="D22" sqref="D22"/>
    </sheetView>
  </sheetViews>
  <sheetFormatPr defaultColWidth="11.42578125" defaultRowHeight="12.75"/>
  <cols>
    <col min="1" max="1" width="37.85546875" style="1275" customWidth="1"/>
    <col min="2" max="2" width="25.42578125" style="1275" customWidth="1"/>
    <col min="3" max="3" width="53.42578125" style="1275" customWidth="1"/>
    <col min="4" max="4" width="18.42578125" style="1275" customWidth="1"/>
    <col min="5" max="5" width="11.42578125" style="1275" customWidth="1"/>
    <col min="6" max="6" width="13.7109375" style="1275" bestFit="1" customWidth="1"/>
    <col min="7" max="16384" width="11.42578125" style="1275"/>
  </cols>
  <sheetData>
    <row r="1" spans="1:6" ht="15.75">
      <c r="A1" s="1274"/>
    </row>
    <row r="2" spans="1:6" ht="15.75">
      <c r="A2" s="1274"/>
    </row>
    <row r="3" spans="1:6" ht="15.75">
      <c r="A3" s="1556" t="str">
        <f>TCOS!F5</f>
        <v>AEPTCo subsidiaries in PJM</v>
      </c>
      <c r="B3" s="1556" t="s">
        <v>321</v>
      </c>
      <c r="C3" s="1556" t="s">
        <v>321</v>
      </c>
      <c r="D3" s="1556" t="s">
        <v>321</v>
      </c>
    </row>
    <row r="4" spans="1:6" ht="15.75">
      <c r="A4" s="1556" t="str">
        <f>"Cost of Service Formula Rate Using Actual/Projected FF1 Balances"</f>
        <v>Cost of Service Formula Rate Using Actual/Projected FF1 Balances</v>
      </c>
      <c r="B4" s="1556"/>
      <c r="C4" s="1556"/>
      <c r="D4" s="1556"/>
    </row>
    <row r="5" spans="1:6" ht="15.75">
      <c r="A5" s="1556" t="s">
        <v>779</v>
      </c>
      <c r="B5" s="1556"/>
      <c r="C5" s="1556"/>
      <c r="D5" s="1556"/>
    </row>
    <row r="6" spans="1:6" ht="15.75">
      <c r="A6" s="1556" t="s">
        <v>780</v>
      </c>
      <c r="B6" s="1556"/>
      <c r="C6" s="1556"/>
      <c r="D6" s="1556"/>
    </row>
    <row r="7" spans="1:6" ht="15.75">
      <c r="A7" s="1557" t="str">
        <f>TCOS!F9</f>
        <v>West Virginia Transmission Company</v>
      </c>
      <c r="B7" s="1557"/>
      <c r="C7" s="1557"/>
      <c r="D7" s="1557"/>
    </row>
    <row r="8" spans="1:6" ht="15.75">
      <c r="A8" s="1277"/>
      <c r="B8" s="1278"/>
      <c r="C8" s="1278"/>
      <c r="D8" s="1278"/>
    </row>
    <row r="9" spans="1:6" ht="15.75">
      <c r="A9" s="1279"/>
      <c r="B9" s="1280"/>
      <c r="C9" s="1280"/>
      <c r="D9" s="1280"/>
    </row>
    <row r="10" spans="1:6" ht="15.75">
      <c r="A10" s="1281"/>
      <c r="B10" s="1281"/>
      <c r="C10" s="1281"/>
      <c r="D10" s="1281"/>
    </row>
    <row r="11" spans="1:6" ht="15.75">
      <c r="A11" s="1282" t="s">
        <v>781</v>
      </c>
      <c r="B11" s="1280" t="s">
        <v>452</v>
      </c>
      <c r="C11" s="1283"/>
      <c r="D11" s="1280" t="s">
        <v>453</v>
      </c>
    </row>
    <row r="12" spans="1:6" ht="15.75">
      <c r="A12" s="1276">
        <f>1</f>
        <v>1</v>
      </c>
      <c r="B12" s="1284" t="s">
        <v>782</v>
      </c>
      <c r="C12" s="1285"/>
      <c r="D12" s="1276"/>
    </row>
    <row r="13" spans="1:6" ht="15.75">
      <c r="A13" s="1276"/>
      <c r="B13" s="1284"/>
      <c r="C13" s="1285"/>
      <c r="D13" s="1276"/>
    </row>
    <row r="14" spans="1:6" ht="15.75">
      <c r="A14" s="1276"/>
      <c r="B14" s="1286"/>
      <c r="C14" s="1286"/>
      <c r="D14" s="1286"/>
    </row>
    <row r="15" spans="1:6" ht="15.75">
      <c r="A15" s="1276">
        <f>A12+1</f>
        <v>2</v>
      </c>
      <c r="B15" s="1287" t="s">
        <v>783</v>
      </c>
      <c r="C15" s="1288"/>
      <c r="D15" s="1289"/>
    </row>
    <row r="16" spans="1:6" ht="15.75">
      <c r="A16" s="1276">
        <f t="shared" ref="A16:A23" si="0">+A15+1</f>
        <v>3</v>
      </c>
      <c r="B16" s="1290" t="s">
        <v>784</v>
      </c>
      <c r="C16" s="1290"/>
      <c r="D16" s="1291">
        <v>-107301000</v>
      </c>
      <c r="F16" s="1292"/>
    </row>
    <row r="17" spans="1:6" ht="15.75">
      <c r="A17" s="1276">
        <f t="shared" si="0"/>
        <v>4</v>
      </c>
      <c r="B17" s="1290" t="s">
        <v>785</v>
      </c>
      <c r="C17" s="1290"/>
      <c r="D17" s="1293">
        <v>0</v>
      </c>
      <c r="F17" s="1292"/>
    </row>
    <row r="18" spans="1:6" ht="15.75">
      <c r="A18" s="1276">
        <f t="shared" si="0"/>
        <v>5</v>
      </c>
      <c r="B18" s="1290" t="s">
        <v>786</v>
      </c>
      <c r="C18" s="1290"/>
      <c r="D18" s="1294">
        <f>+D16-D17</f>
        <v>-107301000</v>
      </c>
    </row>
    <row r="19" spans="1:6" ht="15.75">
      <c r="A19" s="1276">
        <f t="shared" si="0"/>
        <v>6</v>
      </c>
      <c r="B19" s="1290" t="s">
        <v>787</v>
      </c>
      <c r="C19" s="1290"/>
      <c r="D19" s="1291">
        <v>1641379000</v>
      </c>
    </row>
    <row r="20" spans="1:6" ht="15.75">
      <c r="A20" s="1276">
        <f t="shared" si="0"/>
        <v>7</v>
      </c>
      <c r="B20" s="1290" t="s">
        <v>788</v>
      </c>
      <c r="C20" s="1290"/>
      <c r="D20" s="1295">
        <f>+D18/D19</f>
        <v>-6.5372470343534314E-2</v>
      </c>
    </row>
    <row r="21" spans="1:6" ht="15.75">
      <c r="A21" s="1276">
        <f t="shared" si="0"/>
        <v>8</v>
      </c>
      <c r="B21" s="1290" t="s">
        <v>789</v>
      </c>
      <c r="C21" s="1290"/>
      <c r="D21" s="1320">
        <v>-4.2999999999999997E-2</v>
      </c>
      <c r="E21" s="1296"/>
    </row>
    <row r="22" spans="1:6" ht="15.75">
      <c r="A22" s="1276">
        <f t="shared" si="0"/>
        <v>9</v>
      </c>
      <c r="B22" s="1290" t="s">
        <v>790</v>
      </c>
      <c r="C22" s="1290"/>
      <c r="D22" s="1291">
        <v>6617000</v>
      </c>
    </row>
    <row r="23" spans="1:6" ht="15.75">
      <c r="A23" s="1276">
        <f t="shared" si="0"/>
        <v>10</v>
      </c>
      <c r="B23" s="1290" t="str">
        <f>"Allowable TransCo PBOP Expense for current year (Ln "&amp;A21&amp;" * Ln "&amp;A22&amp;")"</f>
        <v>Allowable TransCo PBOP Expense for current year (Ln 8 * Ln 9)</v>
      </c>
      <c r="C23" s="1290"/>
      <c r="D23" s="1297">
        <f>ROUND(+D21*D22,-3)</f>
        <v>-285000</v>
      </c>
    </row>
    <row r="24" spans="1:6" ht="15.75">
      <c r="A24" s="1276"/>
      <c r="B24" s="1290"/>
      <c r="C24" s="1290"/>
      <c r="D24" s="1297"/>
    </row>
    <row r="25" spans="1:6" ht="15.75">
      <c r="A25" s="1276"/>
      <c r="B25" s="1290"/>
      <c r="C25" s="1290"/>
      <c r="D25" s="1297"/>
    </row>
    <row r="26" spans="1:6" ht="15.75">
      <c r="A26" s="1276">
        <f>+A23+1</f>
        <v>11</v>
      </c>
      <c r="B26" s="1298" t="s">
        <v>791</v>
      </c>
      <c r="C26" s="1290"/>
      <c r="D26" s="1291">
        <v>0</v>
      </c>
    </row>
    <row r="27" spans="1:6" ht="15.75">
      <c r="A27" s="1276">
        <f>+A26+1</f>
        <v>12</v>
      </c>
      <c r="B27" s="1299" t="s">
        <v>792</v>
      </c>
      <c r="C27" s="1290"/>
      <c r="D27" s="1291">
        <v>0</v>
      </c>
    </row>
    <row r="28" spans="1:6" ht="15.75">
      <c r="A28" s="1276">
        <f>+A27+1</f>
        <v>13</v>
      </c>
      <c r="B28" s="1299" t="s">
        <v>793</v>
      </c>
      <c r="C28" s="1290"/>
      <c r="D28" s="1291">
        <v>0</v>
      </c>
    </row>
    <row r="29" spans="1:6" ht="16.5" thickBot="1">
      <c r="A29" s="1300">
        <f>+A28+1</f>
        <v>14</v>
      </c>
      <c r="B29" s="1301" t="s">
        <v>794</v>
      </c>
      <c r="C29" s="1302"/>
      <c r="D29" s="1388">
        <v>-876000</v>
      </c>
    </row>
    <row r="30" spans="1:6" ht="15.75">
      <c r="A30" s="1276">
        <f>+A29+1</f>
        <v>15</v>
      </c>
      <c r="B30" s="1286" t="s">
        <v>795</v>
      </c>
      <c r="C30" s="1286" t="str">
        <f>"(Sum Lines "&amp;A26&amp;"-"&amp;A29&amp;")"</f>
        <v>(Sum Lines 11-14)</v>
      </c>
      <c r="D30" s="1303">
        <f>SUM(D26:D29)</f>
        <v>-876000</v>
      </c>
    </row>
    <row r="31" spans="1:6" ht="15.75">
      <c r="A31" s="1276"/>
      <c r="B31" s="1286"/>
      <c r="C31" s="1286"/>
      <c r="D31" s="1303"/>
    </row>
    <row r="32" spans="1:6" ht="15.75">
      <c r="A32" s="1276"/>
      <c r="B32" s="1286"/>
      <c r="C32" s="1286"/>
      <c r="D32" s="1303"/>
    </row>
    <row r="33" spans="1:4" s="1305" customFormat="1" ht="15.75">
      <c r="A33" s="1276">
        <f>A30+1</f>
        <v>16</v>
      </c>
      <c r="B33" s="1286" t="s">
        <v>796</v>
      </c>
      <c r="C33" s="1286" t="str">
        <f>"Line "&amp;A23&amp;" less Line "&amp;A30&amp;""</f>
        <v>Line 10 less Line 15</v>
      </c>
      <c r="D33" s="1304">
        <f>D23-D30</f>
        <v>591000</v>
      </c>
    </row>
    <row r="34" spans="1:4" s="1305" customFormat="1" ht="15.75">
      <c r="A34" s="1276"/>
      <c r="B34" s="1286"/>
      <c r="C34" s="1286"/>
      <c r="D34" s="1304"/>
    </row>
    <row r="35" spans="1:4" ht="15.75">
      <c r="A35" s="1299" t="s">
        <v>797</v>
      </c>
    </row>
    <row r="37" spans="1:4" ht="387.75" customHeight="1">
      <c r="A37" s="1555" t="s">
        <v>798</v>
      </c>
      <c r="B37" s="1555"/>
      <c r="C37" s="1555"/>
      <c r="D37" s="1555"/>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48"/>
  <sheetViews>
    <sheetView defaultGridColor="0" view="pageBreakPreview" colorId="22" zoomScale="60" zoomScaleNormal="70" workbookViewId="0">
      <selection activeCell="B38" sqref="B38"/>
    </sheetView>
  </sheetViews>
  <sheetFormatPr defaultColWidth="14.7109375" defaultRowHeight="15"/>
  <cols>
    <col min="1" max="1" width="5.7109375" style="861" customWidth="1"/>
    <col min="2" max="2" width="42.5703125" style="861" customWidth="1"/>
    <col min="3" max="3" width="16.28515625" style="861" bestFit="1" customWidth="1"/>
    <col min="4" max="4" width="16.85546875" style="861" customWidth="1"/>
    <col min="5" max="5" width="18" style="861" customWidth="1"/>
    <col min="6" max="7" width="16.28515625" style="861" bestFit="1" customWidth="1"/>
    <col min="8" max="8" width="14.7109375" style="861" customWidth="1"/>
    <col min="9" max="16384" width="14.7109375" style="861"/>
  </cols>
  <sheetData>
    <row r="1" spans="1:7" ht="15.75">
      <c r="A1" s="1006"/>
    </row>
    <row r="2" spans="1:7" ht="15.75">
      <c r="A2" s="1006"/>
    </row>
    <row r="3" spans="1:7" ht="19.5">
      <c r="B3" s="1559" t="s">
        <v>321</v>
      </c>
      <c r="C3" s="1559"/>
      <c r="D3" s="1559"/>
      <c r="E3" s="1559"/>
      <c r="F3" s="860"/>
      <c r="G3" s="860"/>
    </row>
    <row r="4" spans="1:7" ht="19.5">
      <c r="B4" s="1559" t="s">
        <v>216</v>
      </c>
      <c r="C4" s="1559"/>
      <c r="D4" s="1559"/>
      <c r="E4" s="1559"/>
      <c r="F4" s="860"/>
      <c r="G4" s="860"/>
    </row>
    <row r="5" spans="1:7" ht="19.5">
      <c r="B5" s="1559" t="s">
        <v>217</v>
      </c>
      <c r="C5" s="1559"/>
      <c r="D5" s="1559"/>
      <c r="E5" s="1559"/>
      <c r="F5" s="860"/>
      <c r="G5" s="860"/>
    </row>
    <row r="6" spans="1:7" ht="19.5">
      <c r="B6" s="1559" t="s">
        <v>218</v>
      </c>
      <c r="C6" s="1559"/>
      <c r="D6" s="1559"/>
      <c r="E6" s="1559"/>
      <c r="F6" s="860"/>
      <c r="G6" s="860"/>
    </row>
    <row r="7" spans="1:7" ht="19.5">
      <c r="B7" s="1560" t="s">
        <v>988</v>
      </c>
      <c r="C7" s="1560"/>
      <c r="D7" s="1560"/>
      <c r="E7" s="1560"/>
      <c r="F7" s="860"/>
      <c r="G7" s="860"/>
    </row>
    <row r="8" spans="1:7" ht="19.5">
      <c r="B8" s="1559"/>
      <c r="C8" s="1559"/>
      <c r="D8" s="1559"/>
      <c r="E8" s="1559"/>
      <c r="F8" s="860"/>
      <c r="G8" s="860"/>
    </row>
    <row r="9" spans="1:7" ht="19.5">
      <c r="B9" s="1561" t="s">
        <v>822</v>
      </c>
      <c r="C9" s="1471"/>
      <c r="D9" s="1471"/>
      <c r="E9" s="1471"/>
      <c r="F9" s="860"/>
      <c r="G9" s="860"/>
    </row>
    <row r="11" spans="1:7">
      <c r="B11" s="862"/>
      <c r="C11" s="862"/>
      <c r="D11" s="863"/>
    </row>
    <row r="12" spans="1:7" ht="15" customHeight="1">
      <c r="B12" s="862"/>
      <c r="C12" s="862"/>
      <c r="D12" s="863"/>
    </row>
    <row r="13" spans="1:7" ht="15.75">
      <c r="B13" s="862"/>
      <c r="C13" s="864" t="s">
        <v>33</v>
      </c>
      <c r="D13" s="864" t="s">
        <v>35</v>
      </c>
    </row>
    <row r="14" spans="1:7" ht="16.5" thickBot="1">
      <c r="B14" s="863"/>
      <c r="C14" s="864" t="s">
        <v>34</v>
      </c>
      <c r="D14" s="865" t="s">
        <v>287</v>
      </c>
    </row>
    <row r="15" spans="1:7">
      <c r="B15" s="866" t="s">
        <v>36</v>
      </c>
      <c r="C15" s="867"/>
      <c r="D15" s="131"/>
    </row>
    <row r="16" spans="1:7">
      <c r="B16" s="868"/>
      <c r="C16" s="869"/>
      <c r="D16" s="132"/>
    </row>
    <row r="17" spans="2:5">
      <c r="B17" s="870" t="s">
        <v>905</v>
      </c>
      <c r="C17" s="153">
        <v>351</v>
      </c>
      <c r="D17" s="1321">
        <v>0</v>
      </c>
      <c r="E17" s="871"/>
    </row>
    <row r="18" spans="2:5">
      <c r="B18" s="872" t="s">
        <v>906</v>
      </c>
      <c r="C18" s="153">
        <v>352</v>
      </c>
      <c r="D18" s="1321">
        <v>2.2200000000000001E-2</v>
      </c>
      <c r="E18" s="140"/>
    </row>
    <row r="19" spans="2:5">
      <c r="B19" s="872" t="s">
        <v>907</v>
      </c>
      <c r="C19" s="153">
        <v>353</v>
      </c>
      <c r="D19" s="1321">
        <v>2.75E-2</v>
      </c>
      <c r="E19" s="871"/>
    </row>
    <row r="20" spans="2:5">
      <c r="B20" s="872" t="s">
        <v>908</v>
      </c>
      <c r="C20" s="153">
        <v>354</v>
      </c>
      <c r="D20" s="1321">
        <v>1.6299999999999999E-2</v>
      </c>
      <c r="E20" s="871"/>
    </row>
    <row r="21" spans="2:5">
      <c r="B21" s="872" t="s">
        <v>909</v>
      </c>
      <c r="C21" s="153">
        <v>355</v>
      </c>
      <c r="D21" s="1321">
        <v>3.7199999999999997E-2</v>
      </c>
      <c r="E21" s="140"/>
    </row>
    <row r="22" spans="2:5">
      <c r="B22" s="872" t="s">
        <v>910</v>
      </c>
      <c r="C22" s="153">
        <v>356</v>
      </c>
      <c r="D22" s="1321">
        <v>1.9900000000000001E-2</v>
      </c>
      <c r="E22" s="873"/>
    </row>
    <row r="23" spans="2:5">
      <c r="B23" s="872" t="s">
        <v>911</v>
      </c>
      <c r="C23" s="153">
        <v>357</v>
      </c>
      <c r="D23" s="1321">
        <v>2.4E-2</v>
      </c>
      <c r="E23" s="871"/>
    </row>
    <row r="24" spans="2:5">
      <c r="B24" s="872" t="s">
        <v>912</v>
      </c>
      <c r="C24" s="153">
        <v>358</v>
      </c>
      <c r="D24" s="1321">
        <v>4.6399999999999997E-2</v>
      </c>
      <c r="E24" s="871"/>
    </row>
    <row r="25" spans="2:5" ht="15.75" thickBot="1">
      <c r="B25" s="872"/>
      <c r="C25" s="153"/>
      <c r="D25" s="140"/>
      <c r="E25" s="871"/>
    </row>
    <row r="26" spans="2:5">
      <c r="B26" s="866" t="s">
        <v>829</v>
      </c>
      <c r="C26" s="867"/>
      <c r="D26" s="131"/>
      <c r="E26" s="871"/>
    </row>
    <row r="27" spans="2:5">
      <c r="B27" s="872"/>
      <c r="C27" s="153"/>
      <c r="D27" s="140"/>
      <c r="E27" s="871"/>
    </row>
    <row r="28" spans="2:5">
      <c r="B28" s="872" t="s">
        <v>906</v>
      </c>
      <c r="C28" s="153">
        <v>390</v>
      </c>
      <c r="D28" s="1321">
        <v>2.06E-2</v>
      </c>
      <c r="E28" s="871"/>
    </row>
    <row r="29" spans="2:5">
      <c r="B29" s="872" t="s">
        <v>913</v>
      </c>
      <c r="C29" s="153">
        <v>391</v>
      </c>
      <c r="D29" s="1321">
        <v>3.2500000000000001E-2</v>
      </c>
      <c r="E29" s="871"/>
    </row>
    <row r="30" spans="2:5">
      <c r="B30" s="872" t="s">
        <v>914</v>
      </c>
      <c r="C30" s="153">
        <v>392</v>
      </c>
      <c r="D30" s="1321">
        <v>3.4500000000000003E-2</v>
      </c>
      <c r="E30" s="871"/>
    </row>
    <row r="31" spans="2:5">
      <c r="B31" s="872" t="s">
        <v>830</v>
      </c>
      <c r="C31" s="153">
        <v>393</v>
      </c>
      <c r="D31" s="1321">
        <v>1.78E-2</v>
      </c>
      <c r="E31" s="871"/>
    </row>
    <row r="32" spans="2:5">
      <c r="B32" s="872" t="s">
        <v>915</v>
      </c>
      <c r="C32" s="153">
        <v>394</v>
      </c>
      <c r="D32" s="1321">
        <v>2.5899999999999999E-2</v>
      </c>
      <c r="E32" s="871"/>
    </row>
    <row r="33" spans="2:5">
      <c r="B33" s="872" t="s">
        <v>831</v>
      </c>
      <c r="C33" s="153">
        <v>395</v>
      </c>
      <c r="D33" s="1321">
        <v>3.5000000000000003E-2</v>
      </c>
      <c r="E33" s="871"/>
    </row>
    <row r="34" spans="2:5">
      <c r="B34" s="872" t="s">
        <v>989</v>
      </c>
      <c r="C34" s="153">
        <v>396</v>
      </c>
      <c r="D34" s="1321">
        <v>4.1599999999999998E-2</v>
      </c>
      <c r="E34" s="871"/>
    </row>
    <row r="35" spans="2:5">
      <c r="B35" s="872" t="s">
        <v>916</v>
      </c>
      <c r="C35" s="153">
        <v>394</v>
      </c>
      <c r="D35" s="1321">
        <v>5.0200000000000009E-2</v>
      </c>
      <c r="E35" s="871"/>
    </row>
    <row r="36" spans="2:5">
      <c r="B36" s="872" t="s">
        <v>917</v>
      </c>
      <c r="C36" s="153">
        <v>398</v>
      </c>
      <c r="D36" s="1321">
        <v>2.7099999999999999E-2</v>
      </c>
      <c r="E36" s="871"/>
    </row>
    <row r="37" spans="2:5" ht="98.25" customHeight="1">
      <c r="B37" s="1562" t="s">
        <v>991</v>
      </c>
      <c r="C37" s="1563"/>
      <c r="D37" s="1563"/>
      <c r="E37" s="1563"/>
    </row>
    <row r="38" spans="2:5">
      <c r="B38" s="874"/>
      <c r="C38" s="875"/>
      <c r="D38" s="875"/>
      <c r="E38" s="875"/>
    </row>
    <row r="39" spans="2:5" ht="15.75">
      <c r="B39" s="876" t="s">
        <v>64</v>
      </c>
      <c r="C39" s="877" t="s">
        <v>614</v>
      </c>
      <c r="D39" s="877" t="s">
        <v>615</v>
      </c>
      <c r="E39" s="878" t="s">
        <v>537</v>
      </c>
    </row>
    <row r="40" spans="2:5">
      <c r="B40" s="879" t="s">
        <v>536</v>
      </c>
      <c r="C40" s="880">
        <v>1811822367</v>
      </c>
      <c r="D40" s="880">
        <v>29740179</v>
      </c>
      <c r="E40" s="881">
        <f>C40+D40</f>
        <v>1841562546</v>
      </c>
    </row>
    <row r="41" spans="2:5">
      <c r="B41" s="879" t="s">
        <v>535</v>
      </c>
      <c r="C41" s="880">
        <v>1752450105</v>
      </c>
      <c r="D41" s="880">
        <v>25887202</v>
      </c>
      <c r="E41" s="881">
        <f>C41+D41</f>
        <v>1778337307</v>
      </c>
    </row>
    <row r="42" spans="2:5">
      <c r="B42" s="879" t="s">
        <v>222</v>
      </c>
      <c r="C42" s="880">
        <f>AVERAGE(C40:C41)</f>
        <v>1782136236</v>
      </c>
      <c r="D42" s="880">
        <f>AVERAGE(D40:D41)</f>
        <v>27813690.5</v>
      </c>
      <c r="E42" s="881">
        <f>C42+D42</f>
        <v>1809949926.5</v>
      </c>
    </row>
    <row r="43" spans="2:5">
      <c r="B43" s="882" t="s">
        <v>538</v>
      </c>
      <c r="C43" s="880">
        <v>29597240</v>
      </c>
      <c r="D43" s="880">
        <v>752928</v>
      </c>
      <c r="E43" s="881">
        <f>C43+D43</f>
        <v>30350168</v>
      </c>
    </row>
    <row r="44" spans="2:5" ht="15.75">
      <c r="B44" s="883" t="s">
        <v>37</v>
      </c>
      <c r="C44" s="884" t="s">
        <v>406</v>
      </c>
      <c r="D44" s="884" t="s">
        <v>406</v>
      </c>
      <c r="E44" s="885">
        <f>E43/E42</f>
        <v>1.6768512518293692E-2</v>
      </c>
    </row>
    <row r="45" spans="2:5">
      <c r="B45" s="886"/>
      <c r="C45" s="887"/>
      <c r="D45" s="886"/>
      <c r="E45" s="886"/>
    </row>
    <row r="46" spans="2:5" ht="15" customHeight="1">
      <c r="B46" s="1558" t="s">
        <v>990</v>
      </c>
      <c r="C46" s="1558"/>
      <c r="D46" s="1558"/>
      <c r="E46" s="1558"/>
    </row>
    <row r="47" spans="2:5">
      <c r="B47" s="1558"/>
      <c r="C47" s="1558"/>
      <c r="D47" s="1558"/>
      <c r="E47" s="1558"/>
    </row>
    <row r="48" spans="2:5" ht="81.75" customHeight="1">
      <c r="B48" s="1558"/>
      <c r="C48" s="1558"/>
      <c r="D48" s="1558"/>
      <c r="E48" s="1558"/>
    </row>
  </sheetData>
  <mergeCells count="9">
    <mergeCell ref="B46:E48"/>
    <mergeCell ref="B3:E3"/>
    <mergeCell ref="B4:E4"/>
    <mergeCell ref="B5:E5"/>
    <mergeCell ref="B6:E6"/>
    <mergeCell ref="B7:E7"/>
    <mergeCell ref="B8:E8"/>
    <mergeCell ref="B9:E9"/>
    <mergeCell ref="B37:E37"/>
  </mergeCells>
  <phoneticPr fontId="4" type="noConversion"/>
  <conditionalFormatting sqref="B49:E65536 F4:G9 H3:IV10 F11:IV65536 C28:C29 C31:C36">
    <cfRule type="cellIs" dxfId="7" priority="11" stopIfTrue="1" operator="lessThan">
      <formula>0</formula>
    </cfRule>
  </conditionalFormatting>
  <conditionalFormatting sqref="B3:B9 C4:E8 B11:E11">
    <cfRule type="cellIs" dxfId="6" priority="7" stopIfTrue="1" operator="lessThan">
      <formula>0</formula>
    </cfRule>
  </conditionalFormatting>
  <conditionalFormatting sqref="D45 B25:D25 B45:B46 D12:D13 E12:E36 D15:D16 C39:E44 B12:C24 B28:B43">
    <cfRule type="cellIs" dxfId="5" priority="6" stopIfTrue="1" operator="lessThan">
      <formula>0</formula>
    </cfRule>
  </conditionalFormatting>
  <conditionalFormatting sqref="B27:D27">
    <cfRule type="cellIs" dxfId="4" priority="5" stopIfTrue="1" operator="lessThan">
      <formula>0</formula>
    </cfRule>
  </conditionalFormatting>
  <conditionalFormatting sqref="B26:D26">
    <cfRule type="cellIs" dxfId="3" priority="4" stopIfTrue="1" operator="lessThan">
      <formula>0</formula>
    </cfRule>
  </conditionalFormatting>
  <conditionalFormatting sqref="D17:D24">
    <cfRule type="cellIs" dxfId="2" priority="3" stopIfTrue="1" operator="lessThan">
      <formula>0</formula>
    </cfRule>
  </conditionalFormatting>
  <conditionalFormatting sqref="D28:D36">
    <cfRule type="cellIs" dxfId="1" priority="2" stopIfTrue="1" operator="lessThan">
      <formula>0</formula>
    </cfRule>
  </conditionalFormatting>
  <conditionalFormatting sqref="C30">
    <cfRule type="cellIs" dxfId="0" priority="1" stopIfTrue="1" operator="lessThan">
      <formula>0</formula>
    </cfRule>
  </conditionalFormatting>
  <pageMargins left="0.55000000000000004" right="0.55000000000000004" top="1.25" bottom="0.75" header="0.75" footer="0.27"/>
  <pageSetup scale="63"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A2" sqref="A1:A2"/>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6"/>
    </row>
    <row r="2" spans="1:10" ht="15.75">
      <c r="A2" s="1006"/>
    </row>
    <row r="3" spans="1:10">
      <c r="A3" s="1565" t="s">
        <v>505</v>
      </c>
      <c r="B3" s="1565"/>
      <c r="C3" s="1565"/>
      <c r="D3" s="1565"/>
      <c r="E3" s="1565"/>
      <c r="F3" s="1565"/>
      <c r="G3" s="1565"/>
      <c r="H3" s="1565"/>
      <c r="I3" s="1565"/>
      <c r="J3" s="1565"/>
    </row>
    <row r="4" spans="1:10">
      <c r="A4" s="1565" t="str">
        <f>"Consolidation of Operating Companies' Capital Structure @ December 31, "&amp;TCOS!L4&amp;""</f>
        <v>Consolidation of Operating Companies' Capital Structure @ December 31, 2025</v>
      </c>
      <c r="B4" s="1565"/>
      <c r="C4" s="1565"/>
      <c r="D4" s="1565"/>
      <c r="E4" s="1565"/>
      <c r="F4" s="1565"/>
      <c r="G4" s="1565"/>
      <c r="H4" s="1565"/>
      <c r="I4" s="1565"/>
      <c r="J4" s="1565"/>
    </row>
    <row r="5" spans="1:10">
      <c r="A5" s="1565" t="s">
        <v>248</v>
      </c>
      <c r="B5" s="1565"/>
      <c r="C5" s="1565"/>
      <c r="D5" s="1565"/>
      <c r="E5" s="1565"/>
      <c r="F5" s="1565"/>
      <c r="G5" s="1565"/>
      <c r="H5" s="1565"/>
      <c r="I5" s="1565"/>
      <c r="J5" s="1565"/>
    </row>
    <row r="7" spans="1:10" ht="76.5">
      <c r="A7" s="888" t="s">
        <v>459</v>
      </c>
      <c r="C7" s="889" t="s">
        <v>506</v>
      </c>
      <c r="D7" s="889"/>
      <c r="E7" s="889" t="s">
        <v>507</v>
      </c>
      <c r="F7" s="889" t="s">
        <v>508</v>
      </c>
      <c r="G7" s="889" t="s">
        <v>509</v>
      </c>
      <c r="H7" s="889" t="s">
        <v>510</v>
      </c>
      <c r="I7" s="889" t="s">
        <v>511</v>
      </c>
      <c r="J7" s="889" t="s">
        <v>512</v>
      </c>
    </row>
    <row r="8" spans="1:10" ht="15">
      <c r="A8" s="846" t="s">
        <v>513</v>
      </c>
    </row>
    <row r="9" spans="1:10">
      <c r="A9" s="888">
        <v>1</v>
      </c>
      <c r="B9" s="850" t="s">
        <v>338</v>
      </c>
      <c r="C9" s="853"/>
      <c r="D9" s="853"/>
      <c r="E9" s="853"/>
      <c r="F9" s="853"/>
      <c r="G9" s="853"/>
      <c r="H9" s="853"/>
      <c r="I9" s="853"/>
      <c r="J9" s="833">
        <f>SUM(C9:I9)</f>
        <v>0</v>
      </c>
    </row>
    <row r="10" spans="1:10">
      <c r="A10" s="888">
        <f>A9+1</f>
        <v>2</v>
      </c>
      <c r="B10" s="850" t="s">
        <v>339</v>
      </c>
      <c r="C10" s="853"/>
      <c r="D10" s="853"/>
      <c r="E10" s="853"/>
      <c r="F10" s="853"/>
      <c r="G10" s="853"/>
      <c r="H10" s="853"/>
      <c r="I10" s="853"/>
      <c r="J10" s="833">
        <f>SUM(C10:I10)</f>
        <v>0</v>
      </c>
    </row>
    <row r="11" spans="1:10">
      <c r="A11" s="888">
        <f>A10+1</f>
        <v>3</v>
      </c>
      <c r="B11" s="851" t="s">
        <v>23</v>
      </c>
      <c r="C11" s="853"/>
      <c r="D11" s="853"/>
      <c r="E11" s="853"/>
      <c r="F11" s="853"/>
      <c r="G11" s="853"/>
      <c r="H11" s="853"/>
      <c r="I11" s="853"/>
      <c r="J11" s="833">
        <f>SUM(C11:I11)</f>
        <v>0</v>
      </c>
    </row>
    <row r="12" spans="1:10">
      <c r="A12" s="888">
        <f>A11+1</f>
        <v>4</v>
      </c>
      <c r="B12" s="851" t="s">
        <v>17</v>
      </c>
      <c r="C12" s="853"/>
      <c r="D12" s="853"/>
      <c r="E12" s="853"/>
      <c r="F12" s="853"/>
      <c r="G12" s="853"/>
      <c r="H12" s="853"/>
      <c r="I12" s="853"/>
      <c r="J12" s="833">
        <f>SUM(C12:I12)</f>
        <v>0</v>
      </c>
    </row>
    <row r="13" spans="1:10">
      <c r="A13" s="888">
        <f>A12+1</f>
        <v>5</v>
      </c>
      <c r="B13" s="851"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2" t="s">
        <v>59</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64" t="s">
        <v>545</v>
      </c>
      <c r="C16" s="1564"/>
      <c r="D16" s="1564"/>
      <c r="E16" s="1564"/>
      <c r="F16" s="1564"/>
      <c r="G16" s="1564"/>
      <c r="H16" s="1564"/>
      <c r="I16" s="1564"/>
      <c r="J16" s="1564"/>
    </row>
    <row r="17" spans="1:10" ht="12.75" customHeight="1">
      <c r="B17" s="892"/>
      <c r="C17" s="892"/>
      <c r="D17" s="892"/>
      <c r="E17" s="892"/>
      <c r="F17" s="892"/>
      <c r="G17" s="892"/>
      <c r="H17" s="892"/>
      <c r="I17" s="892"/>
      <c r="J17" s="892"/>
    </row>
    <row r="18" spans="1:10" ht="15">
      <c r="A18" s="846" t="s">
        <v>514</v>
      </c>
    </row>
    <row r="19" spans="1:10">
      <c r="A19" s="888">
        <f>A16+1</f>
        <v>8</v>
      </c>
      <c r="B19" s="850" t="s">
        <v>340</v>
      </c>
      <c r="C19" s="146"/>
      <c r="D19" s="146"/>
      <c r="E19" s="146"/>
      <c r="F19" s="146"/>
      <c r="G19" s="146"/>
      <c r="H19" s="146"/>
      <c r="I19" s="146"/>
      <c r="J19" s="490">
        <f t="shared" ref="J19:J24" si="1">SUM(C19:I19)</f>
        <v>0</v>
      </c>
    </row>
    <row r="20" spans="1:10">
      <c r="A20" s="888">
        <f t="shared" ref="A20:A25" si="2">A19+1</f>
        <v>9</v>
      </c>
      <c r="B20" s="850" t="s">
        <v>333</v>
      </c>
      <c r="C20" s="146"/>
      <c r="D20" s="146"/>
      <c r="E20" s="146"/>
      <c r="F20" s="146"/>
      <c r="G20" s="146"/>
      <c r="H20" s="146"/>
      <c r="I20" s="146"/>
      <c r="J20" s="490">
        <f t="shared" si="1"/>
        <v>0</v>
      </c>
    </row>
    <row r="21" spans="1:10">
      <c r="A21" s="888">
        <f t="shared" si="2"/>
        <v>10</v>
      </c>
      <c r="B21" s="850" t="s">
        <v>334</v>
      </c>
      <c r="C21" s="146"/>
      <c r="D21" s="146"/>
      <c r="E21" s="146"/>
      <c r="F21" s="146"/>
      <c r="G21" s="146"/>
      <c r="H21" s="146"/>
      <c r="I21" s="146"/>
      <c r="J21" s="490">
        <f t="shared" si="1"/>
        <v>0</v>
      </c>
    </row>
    <row r="22" spans="1:10">
      <c r="A22" s="888">
        <f t="shared" si="2"/>
        <v>11</v>
      </c>
      <c r="B22" s="850" t="s">
        <v>335</v>
      </c>
      <c r="C22" s="853"/>
      <c r="D22" s="853"/>
      <c r="E22" s="853"/>
      <c r="F22" s="853"/>
      <c r="G22" s="853"/>
      <c r="H22" s="853"/>
      <c r="I22" s="853"/>
      <c r="J22" s="833">
        <f t="shared" si="1"/>
        <v>0</v>
      </c>
    </row>
    <row r="23" spans="1:10">
      <c r="A23" s="888">
        <f t="shared" si="2"/>
        <v>12</v>
      </c>
      <c r="B23" s="850" t="s">
        <v>336</v>
      </c>
      <c r="C23" s="853"/>
      <c r="D23" s="853"/>
      <c r="E23" s="853"/>
      <c r="F23" s="853"/>
      <c r="G23" s="853"/>
      <c r="H23" s="853"/>
      <c r="I23" s="853"/>
      <c r="J23" s="833">
        <f t="shared" si="1"/>
        <v>0</v>
      </c>
    </row>
    <row r="24" spans="1:10">
      <c r="A24" s="888">
        <f t="shared" si="2"/>
        <v>13</v>
      </c>
      <c r="B24" s="893" t="s">
        <v>515</v>
      </c>
      <c r="C24" s="147"/>
      <c r="D24" s="147"/>
      <c r="E24" s="147"/>
      <c r="F24" s="147"/>
      <c r="G24" s="147"/>
      <c r="H24" s="147"/>
      <c r="I24" s="147"/>
      <c r="J24" s="890">
        <f t="shared" si="1"/>
        <v>0</v>
      </c>
    </row>
    <row r="25" spans="1:10">
      <c r="A25" s="888">
        <f t="shared" si="2"/>
        <v>14</v>
      </c>
      <c r="B25" s="894" t="s">
        <v>60</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6" t="s">
        <v>516</v>
      </c>
      <c r="B27" s="896"/>
      <c r="C27" s="896"/>
      <c r="D27" s="896"/>
      <c r="E27" s="896"/>
    </row>
    <row r="28" spans="1:10">
      <c r="A28" s="888">
        <f>A25+1</f>
        <v>15</v>
      </c>
      <c r="B28" s="849" t="s">
        <v>517</v>
      </c>
      <c r="C28" s="854"/>
      <c r="D28" s="917"/>
      <c r="E28" s="918"/>
      <c r="F28" s="917"/>
      <c r="G28" s="917"/>
      <c r="H28" s="854"/>
      <c r="I28" s="917"/>
      <c r="J28" s="897"/>
    </row>
    <row r="29" spans="1:10">
      <c r="A29" s="888">
        <f>A28+1</f>
        <v>16</v>
      </c>
      <c r="B29" s="849" t="s">
        <v>518</v>
      </c>
      <c r="C29" s="855"/>
      <c r="D29" s="919"/>
      <c r="E29" s="855"/>
      <c r="F29" s="919"/>
      <c r="G29" s="919"/>
      <c r="H29" s="855"/>
      <c r="I29" s="919"/>
      <c r="J29" s="898"/>
    </row>
    <row r="30" spans="1:10">
      <c r="A30" s="888">
        <f>A29+1</f>
        <v>17</v>
      </c>
      <c r="B30" s="849" t="s">
        <v>519</v>
      </c>
      <c r="C30" s="146"/>
      <c r="D30" s="920"/>
      <c r="E30" s="146"/>
      <c r="F30" s="920"/>
      <c r="G30" s="920"/>
      <c r="H30" s="146"/>
      <c r="I30" s="920"/>
    </row>
    <row r="31" spans="1:10">
      <c r="A31" s="888">
        <f>A30+1</f>
        <v>18</v>
      </c>
      <c r="B31" s="849" t="str">
        <f>"Monetary Value (Ln "&amp;A29&amp;" * Ln "&amp;A30&amp;")"</f>
        <v>Monetary Value (Ln 16 * Ln 17)</v>
      </c>
      <c r="C31" s="489">
        <f t="shared" ref="C31:I31" si="4">C29*C30</f>
        <v>0</v>
      </c>
      <c r="D31" s="489"/>
      <c r="E31" s="489">
        <f t="shared" si="4"/>
        <v>0</v>
      </c>
      <c r="F31" s="489">
        <f t="shared" si="4"/>
        <v>0</v>
      </c>
      <c r="G31" s="489">
        <f t="shared" si="4"/>
        <v>0</v>
      </c>
      <c r="H31" s="489">
        <f t="shared" si="4"/>
        <v>0</v>
      </c>
      <c r="I31" s="489">
        <f t="shared" si="4"/>
        <v>0</v>
      </c>
      <c r="J31" s="895">
        <f>SUM(C31:I31)</f>
        <v>0</v>
      </c>
    </row>
    <row r="32" spans="1:10">
      <c r="A32" s="888">
        <f>A31+1</f>
        <v>19</v>
      </c>
      <c r="B32" s="849" t="str">
        <f>"Dividend Amount (Ln "&amp;A28&amp;" * Ln "&amp;A31&amp;")"</f>
        <v>Dividend Amount (Ln 15 * Ln 18)</v>
      </c>
      <c r="C32" s="489">
        <f t="shared" ref="C32:I32" si="5">C31*C28</f>
        <v>0</v>
      </c>
      <c r="D32" s="489"/>
      <c r="E32" s="489">
        <f t="shared" si="5"/>
        <v>0</v>
      </c>
      <c r="F32" s="489">
        <f t="shared" si="5"/>
        <v>0</v>
      </c>
      <c r="G32" s="489">
        <f t="shared" si="5"/>
        <v>0</v>
      </c>
      <c r="H32" s="489">
        <f t="shared" si="5"/>
        <v>0</v>
      </c>
      <c r="I32" s="489">
        <f t="shared" si="5"/>
        <v>0</v>
      </c>
      <c r="J32" s="895">
        <f>SUM(C32:I32)</f>
        <v>0</v>
      </c>
    </row>
    <row r="34" spans="1:10">
      <c r="A34" s="888">
        <f>A32+1</f>
        <v>20</v>
      </c>
      <c r="B34" s="849" t="s">
        <v>517</v>
      </c>
      <c r="C34" s="854"/>
      <c r="D34" s="917"/>
      <c r="E34" s="918"/>
      <c r="F34" s="917"/>
      <c r="G34" s="917"/>
      <c r="H34" s="854"/>
      <c r="I34" s="917"/>
    </row>
    <row r="35" spans="1:10">
      <c r="A35" s="888">
        <f>A34+1</f>
        <v>21</v>
      </c>
      <c r="B35" s="849" t="s">
        <v>518</v>
      </c>
      <c r="C35" s="855"/>
      <c r="D35" s="919"/>
      <c r="E35" s="855"/>
      <c r="F35" s="919"/>
      <c r="G35" s="919"/>
      <c r="H35" s="855"/>
      <c r="I35" s="919"/>
    </row>
    <row r="36" spans="1:10">
      <c r="A36" s="888">
        <f>A35+1</f>
        <v>22</v>
      </c>
      <c r="B36" s="849" t="s">
        <v>519</v>
      </c>
      <c r="C36" s="146"/>
      <c r="D36" s="920"/>
      <c r="E36" s="146"/>
      <c r="F36" s="920"/>
      <c r="G36" s="920"/>
      <c r="H36" s="146"/>
      <c r="I36" s="920"/>
    </row>
    <row r="37" spans="1:10">
      <c r="A37" s="888">
        <f>A36+1</f>
        <v>23</v>
      </c>
      <c r="B37" s="849" t="str">
        <f>"Monetary Value (Ln "&amp;A35&amp;" * Ln "&amp;A36&amp;")"</f>
        <v>Monetary Value (Ln 21 * Ln 22)</v>
      </c>
      <c r="C37" s="489">
        <f t="shared" ref="C37:I37" si="6">C35*C36</f>
        <v>0</v>
      </c>
      <c r="D37" s="489"/>
      <c r="E37" s="489">
        <f t="shared" si="6"/>
        <v>0</v>
      </c>
      <c r="F37" s="489">
        <f t="shared" si="6"/>
        <v>0</v>
      </c>
      <c r="G37" s="489">
        <f t="shared" si="6"/>
        <v>0</v>
      </c>
      <c r="H37" s="489">
        <f t="shared" si="6"/>
        <v>0</v>
      </c>
      <c r="I37" s="489">
        <f t="shared" si="6"/>
        <v>0</v>
      </c>
      <c r="J37" s="895">
        <f>SUM(C37:I37)</f>
        <v>0</v>
      </c>
    </row>
    <row r="38" spans="1:10">
      <c r="A38" s="888">
        <f>A37+1</f>
        <v>24</v>
      </c>
      <c r="B38" s="849" t="str">
        <f>"Dividend Amount (Ln "&amp;A34&amp;" * Ln "&amp;A37&amp;")"</f>
        <v>Dividend Amount (Ln 20 * Ln 23)</v>
      </c>
      <c r="C38" s="489">
        <f t="shared" ref="C38:I38" si="7">C37*C34</f>
        <v>0</v>
      </c>
      <c r="D38" s="489"/>
      <c r="E38" s="489">
        <f t="shared" si="7"/>
        <v>0</v>
      </c>
      <c r="F38" s="489">
        <f t="shared" si="7"/>
        <v>0</v>
      </c>
      <c r="G38" s="489">
        <f t="shared" si="7"/>
        <v>0</v>
      </c>
      <c r="H38" s="489">
        <f t="shared" si="7"/>
        <v>0</v>
      </c>
      <c r="I38" s="489">
        <f t="shared" si="7"/>
        <v>0</v>
      </c>
      <c r="J38" s="895">
        <f>SUM(C38:I38)</f>
        <v>0</v>
      </c>
    </row>
    <row r="40" spans="1:10">
      <c r="A40" s="888">
        <f>A38+1</f>
        <v>25</v>
      </c>
      <c r="B40" s="849" t="s">
        <v>517</v>
      </c>
      <c r="C40" s="854"/>
      <c r="D40" s="917"/>
      <c r="E40" s="918"/>
      <c r="F40" s="917"/>
      <c r="G40" s="917"/>
      <c r="H40" s="854"/>
      <c r="I40" s="917"/>
    </row>
    <row r="41" spans="1:10">
      <c r="A41" s="888">
        <f>A40+1</f>
        <v>26</v>
      </c>
      <c r="B41" s="849" t="s">
        <v>518</v>
      </c>
      <c r="C41" s="855"/>
      <c r="D41" s="919"/>
      <c r="E41" s="855"/>
      <c r="F41" s="919"/>
      <c r="G41" s="919"/>
      <c r="H41" s="855"/>
      <c r="I41" s="919"/>
    </row>
    <row r="42" spans="1:10">
      <c r="A42" s="888">
        <f>A41+1</f>
        <v>27</v>
      </c>
      <c r="B42" s="849" t="s">
        <v>519</v>
      </c>
      <c r="C42" s="146"/>
      <c r="D42" s="920"/>
      <c r="E42" s="146"/>
      <c r="F42" s="920"/>
      <c r="G42" s="920"/>
      <c r="H42" s="146"/>
      <c r="I42" s="920"/>
    </row>
    <row r="43" spans="1:10">
      <c r="A43" s="888">
        <f>A42+1</f>
        <v>28</v>
      </c>
      <c r="B43" s="849" t="str">
        <f>"Monetary Value (Ln "&amp;A41&amp;" * Ln "&amp;A42&amp;")"</f>
        <v>Monetary Value (Ln 26 * Ln 27)</v>
      </c>
      <c r="C43" s="489">
        <f t="shared" ref="C43:I43" si="8">C41*C42</f>
        <v>0</v>
      </c>
      <c r="D43" s="489"/>
      <c r="E43" s="489">
        <f t="shared" si="8"/>
        <v>0</v>
      </c>
      <c r="F43" s="489">
        <f t="shared" si="8"/>
        <v>0</v>
      </c>
      <c r="G43" s="489">
        <f t="shared" si="8"/>
        <v>0</v>
      </c>
      <c r="H43" s="489">
        <f t="shared" si="8"/>
        <v>0</v>
      </c>
      <c r="I43" s="489">
        <f t="shared" si="8"/>
        <v>0</v>
      </c>
      <c r="J43" s="895">
        <f>SUM(C43:I43)</f>
        <v>0</v>
      </c>
    </row>
    <row r="44" spans="1:10">
      <c r="A44" s="888">
        <f>A43+1</f>
        <v>29</v>
      </c>
      <c r="B44" s="849" t="str">
        <f>"Dividend Amount (Ln "&amp;A40&amp;" * Ln "&amp;A43&amp;")"</f>
        <v>Dividend Amount (Ln 25 * Ln 28)</v>
      </c>
      <c r="C44" s="489">
        <f t="shared" ref="C44:I44" si="9">C43*C40</f>
        <v>0</v>
      </c>
      <c r="D44" s="489"/>
      <c r="E44" s="489">
        <f t="shared" si="9"/>
        <v>0</v>
      </c>
      <c r="F44" s="489">
        <f t="shared" si="9"/>
        <v>0</v>
      </c>
      <c r="G44" s="489">
        <f t="shared" si="9"/>
        <v>0</v>
      </c>
      <c r="H44" s="489">
        <f t="shared" si="9"/>
        <v>0</v>
      </c>
      <c r="I44" s="489">
        <f t="shared" si="9"/>
        <v>0</v>
      </c>
      <c r="J44" s="895">
        <f>SUM(C44:I44)</f>
        <v>0</v>
      </c>
    </row>
    <row r="46" spans="1:10">
      <c r="A46" s="888">
        <f>A44+1</f>
        <v>30</v>
      </c>
      <c r="B46" s="849" t="s">
        <v>517</v>
      </c>
      <c r="C46" s="854"/>
      <c r="D46" s="917"/>
      <c r="E46" s="918"/>
      <c r="F46" s="917"/>
      <c r="G46" s="917"/>
      <c r="H46" s="854"/>
      <c r="I46" s="917"/>
    </row>
    <row r="47" spans="1:10">
      <c r="A47" s="888">
        <f>A46+1</f>
        <v>31</v>
      </c>
      <c r="B47" s="849" t="s">
        <v>518</v>
      </c>
      <c r="C47" s="855"/>
      <c r="D47" s="919"/>
      <c r="E47" s="855"/>
      <c r="F47" s="919"/>
      <c r="G47" s="919"/>
      <c r="H47" s="855"/>
      <c r="I47" s="919"/>
    </row>
    <row r="48" spans="1:10">
      <c r="A48" s="888">
        <f>A47+1</f>
        <v>32</v>
      </c>
      <c r="B48" s="849" t="s">
        <v>519</v>
      </c>
      <c r="C48" s="146"/>
      <c r="D48" s="920"/>
      <c r="E48" s="146"/>
      <c r="F48" s="920"/>
      <c r="G48" s="920"/>
      <c r="H48" s="146"/>
      <c r="I48" s="920"/>
    </row>
    <row r="49" spans="1:10">
      <c r="A49" s="888">
        <f>A48+1</f>
        <v>33</v>
      </c>
      <c r="B49" s="849" t="str">
        <f>"Monetary Value (Ln "&amp;A47&amp;" * Ln "&amp;A48&amp;")"</f>
        <v>Monetary Value (Ln 31 * Ln 32)</v>
      </c>
      <c r="C49" s="489">
        <f t="shared" ref="C49:I49" si="10">C47*C48</f>
        <v>0</v>
      </c>
      <c r="D49" s="489"/>
      <c r="E49" s="489">
        <f t="shared" si="10"/>
        <v>0</v>
      </c>
      <c r="F49" s="489">
        <f t="shared" si="10"/>
        <v>0</v>
      </c>
      <c r="G49" s="489">
        <f t="shared" si="10"/>
        <v>0</v>
      </c>
      <c r="H49" s="489">
        <f t="shared" si="10"/>
        <v>0</v>
      </c>
      <c r="I49" s="489">
        <f t="shared" si="10"/>
        <v>0</v>
      </c>
      <c r="J49" s="895">
        <f>SUM(C49:I49)</f>
        <v>0</v>
      </c>
    </row>
    <row r="50" spans="1:10">
      <c r="A50" s="888">
        <f>A49+1</f>
        <v>34</v>
      </c>
      <c r="B50" s="849" t="str">
        <f>"Dividend Amount (Ln "&amp;A46&amp;" * Ln "&amp;A49&amp;")"</f>
        <v>Dividend Amount (Ln 30 * Ln 33)</v>
      </c>
      <c r="C50" s="489">
        <f t="shared" ref="C50:I50" si="11">C49*C46</f>
        <v>0</v>
      </c>
      <c r="D50" s="489"/>
      <c r="E50" s="489">
        <f t="shared" si="11"/>
        <v>0</v>
      </c>
      <c r="F50" s="489">
        <f t="shared" si="11"/>
        <v>0</v>
      </c>
      <c r="G50" s="489">
        <f t="shared" si="11"/>
        <v>0</v>
      </c>
      <c r="H50" s="489">
        <f t="shared" si="11"/>
        <v>0</v>
      </c>
      <c r="I50" s="489">
        <f t="shared" si="11"/>
        <v>0</v>
      </c>
      <c r="J50" s="895">
        <f>SUM(C50:I50)</f>
        <v>0</v>
      </c>
    </row>
    <row r="51" spans="1:10">
      <c r="B51" s="849"/>
    </row>
    <row r="52" spans="1:10">
      <c r="A52" s="888">
        <f>A50+1</f>
        <v>35</v>
      </c>
      <c r="B52" s="847"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7"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6" t="s">
        <v>520</v>
      </c>
    </row>
    <row r="56" spans="1:10">
      <c r="A56" s="888">
        <f>A53+1</f>
        <v>37</v>
      </c>
      <c r="B56" s="665" t="s">
        <v>521</v>
      </c>
      <c r="C56" s="146"/>
      <c r="D56" s="146"/>
      <c r="E56" s="146"/>
      <c r="F56" s="146"/>
      <c r="G56" s="146"/>
      <c r="H56" s="146"/>
      <c r="I56" s="146"/>
      <c r="J56" s="895">
        <f>SUM(C56:I56)</f>
        <v>0</v>
      </c>
    </row>
    <row r="57" spans="1:10">
      <c r="A57" s="888">
        <f>A56+1</f>
        <v>38</v>
      </c>
      <c r="B57" s="665" t="str">
        <f>"Less: Preferred Stock (Ln "&amp;A52&amp;" Above)"</f>
        <v>Less: Preferred Stock (Ln 35 Above)</v>
      </c>
      <c r="C57" s="490">
        <f t="shared" ref="C57:I57" si="13">C52</f>
        <v>0</v>
      </c>
      <c r="D57" s="490"/>
      <c r="E57" s="490">
        <f t="shared" si="13"/>
        <v>0</v>
      </c>
      <c r="F57" s="490">
        <f t="shared" si="13"/>
        <v>0</v>
      </c>
      <c r="G57" s="490">
        <f t="shared" si="13"/>
        <v>0</v>
      </c>
      <c r="H57" s="490">
        <f t="shared" si="13"/>
        <v>0</v>
      </c>
      <c r="I57" s="490">
        <f t="shared" si="13"/>
        <v>0</v>
      </c>
      <c r="J57" s="895">
        <f>SUM(C57:I57)</f>
        <v>0</v>
      </c>
    </row>
    <row r="58" spans="1:10">
      <c r="A58" s="888">
        <f>A57+1</f>
        <v>39</v>
      </c>
      <c r="B58" s="665" t="s">
        <v>522</v>
      </c>
      <c r="C58" s="853"/>
      <c r="D58" s="853"/>
      <c r="E58" s="853"/>
      <c r="F58" s="853"/>
      <c r="G58" s="853"/>
      <c r="H58" s="853"/>
      <c r="I58" s="853"/>
      <c r="J58" s="895">
        <f>SUM(C58:I58)</f>
        <v>0</v>
      </c>
    </row>
    <row r="59" spans="1:10">
      <c r="A59" s="888">
        <f>A58+1</f>
        <v>40</v>
      </c>
      <c r="B59" s="665" t="s">
        <v>523</v>
      </c>
      <c r="C59" s="147"/>
      <c r="D59" s="147"/>
      <c r="E59" s="147"/>
      <c r="F59" s="147"/>
      <c r="G59" s="147"/>
      <c r="H59" s="147"/>
      <c r="I59" s="147"/>
      <c r="J59" s="900">
        <f>SUM(C59:I59)</f>
        <v>0</v>
      </c>
    </row>
    <row r="60" spans="1:10">
      <c r="A60" s="888">
        <f>A59+1</f>
        <v>41</v>
      </c>
      <c r="B60" s="848" t="s">
        <v>524</v>
      </c>
      <c r="C60" s="833">
        <f t="shared" ref="C60:J60" si="14">C56-C57-C58-C59</f>
        <v>0</v>
      </c>
      <c r="D60" s="833"/>
      <c r="E60" s="833">
        <f t="shared" si="14"/>
        <v>0</v>
      </c>
      <c r="F60" s="833">
        <f t="shared" si="14"/>
        <v>0</v>
      </c>
      <c r="G60" s="833">
        <f t="shared" si="14"/>
        <v>0</v>
      </c>
      <c r="H60" s="833">
        <f t="shared" si="14"/>
        <v>0</v>
      </c>
      <c r="I60" s="833">
        <f t="shared" si="14"/>
        <v>0</v>
      </c>
      <c r="J60" s="833">
        <f t="shared" si="14"/>
        <v>0</v>
      </c>
    </row>
    <row r="62" spans="1:10" ht="15">
      <c r="A62" s="846" t="s">
        <v>525</v>
      </c>
    </row>
    <row r="63" spans="1:10">
      <c r="A63" s="888">
        <f>A60+1</f>
        <v>42</v>
      </c>
      <c r="B63" s="469"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9"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9"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526</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9"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9"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9"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9"/>
      <c r="C71" s="903"/>
      <c r="D71" s="903"/>
      <c r="E71" s="903"/>
      <c r="F71" s="903"/>
      <c r="G71" s="903"/>
      <c r="H71" s="903"/>
      <c r="I71" s="903"/>
      <c r="J71" s="903"/>
    </row>
    <row r="72" spans="1:10">
      <c r="A72" s="902">
        <f>A70+1</f>
        <v>49</v>
      </c>
      <c r="B72" s="847" t="s">
        <v>556</v>
      </c>
      <c r="C72" s="904"/>
      <c r="D72" s="904"/>
      <c r="E72" s="904"/>
      <c r="F72" s="904"/>
      <c r="G72" s="904"/>
      <c r="H72" s="904"/>
      <c r="I72" s="904"/>
      <c r="J72" s="904"/>
    </row>
    <row r="73" spans="1:10">
      <c r="A73" s="902"/>
      <c r="B73" s="469"/>
      <c r="C73" s="903"/>
      <c r="D73" s="903"/>
      <c r="E73" s="903"/>
      <c r="F73" s="903"/>
      <c r="G73" s="903"/>
      <c r="H73" s="903"/>
      <c r="I73" s="903"/>
      <c r="J73" s="903"/>
    </row>
    <row r="74" spans="1:10">
      <c r="A74" s="902">
        <f>A72+1</f>
        <v>50</v>
      </c>
      <c r="B74" s="847" t="s">
        <v>556</v>
      </c>
      <c r="C74" s="903"/>
      <c r="D74" s="903"/>
      <c r="E74" s="903"/>
      <c r="F74" s="903"/>
      <c r="G74" s="903"/>
      <c r="H74" s="903"/>
      <c r="I74" s="903"/>
      <c r="J74" s="903"/>
    </row>
    <row r="75" spans="1:10">
      <c r="A75" s="902">
        <f>A74+1</f>
        <v>51</v>
      </c>
      <c r="B75" s="847" t="s">
        <v>556</v>
      </c>
      <c r="C75" s="903"/>
      <c r="D75" s="903"/>
      <c r="E75" s="903"/>
      <c r="F75" s="903"/>
      <c r="G75" s="903"/>
      <c r="H75" s="903"/>
      <c r="I75" s="903"/>
      <c r="J75" s="903"/>
    </row>
    <row r="76" spans="1:10">
      <c r="A76" s="902">
        <f>A75+1</f>
        <v>52</v>
      </c>
      <c r="B76" s="847" t="s">
        <v>556</v>
      </c>
      <c r="C76" s="903"/>
      <c r="D76" s="903"/>
      <c r="E76" s="903"/>
      <c r="F76" s="903"/>
      <c r="G76" s="903"/>
      <c r="H76" s="903"/>
      <c r="I76" s="903"/>
      <c r="J76" s="903"/>
    </row>
    <row r="77" spans="1:10">
      <c r="B77" s="469"/>
      <c r="C77" s="901"/>
      <c r="D77" s="901"/>
      <c r="E77" s="901"/>
      <c r="F77" s="901"/>
      <c r="G77" s="901"/>
      <c r="H77" s="901"/>
      <c r="I77" s="901"/>
      <c r="J77" s="901"/>
    </row>
    <row r="78" spans="1:10" ht="15">
      <c r="A78" s="846" t="s">
        <v>527</v>
      </c>
    </row>
    <row r="79" spans="1:10">
      <c r="A79" s="888">
        <f>A76+1</f>
        <v>53</v>
      </c>
      <c r="B79" s="469"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9"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9" t="s">
        <v>528</v>
      </c>
      <c r="C81" s="901">
        <v>0.1149</v>
      </c>
      <c r="D81" s="901"/>
      <c r="E81" s="901">
        <v>0.1149</v>
      </c>
      <c r="F81" s="901">
        <v>0.1149</v>
      </c>
      <c r="G81" s="901">
        <v>0.1149</v>
      </c>
      <c r="H81" s="901">
        <v>0.1149</v>
      </c>
      <c r="I81" s="901">
        <v>0.1149</v>
      </c>
      <c r="J81" s="901">
        <v>0.1149</v>
      </c>
    </row>
    <row r="83" spans="1:10" ht="15">
      <c r="A83" s="846" t="s">
        <v>529</v>
      </c>
    </row>
    <row r="84" spans="1:10">
      <c r="A84" s="888">
        <f>A81+1</f>
        <v>56</v>
      </c>
      <c r="B84" s="469"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9"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9"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526</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65" t="s">
        <v>505</v>
      </c>
      <c r="B90" s="1565"/>
      <c r="C90" s="1565"/>
      <c r="D90" s="1565"/>
      <c r="E90" s="1565"/>
      <c r="F90" s="1565"/>
      <c r="G90" s="1565"/>
      <c r="H90" s="1565"/>
      <c r="I90" s="1565"/>
      <c r="J90" s="1565"/>
    </row>
    <row r="91" spans="1:10">
      <c r="A91" s="1565" t="str">
        <f>"Consolidation of Operating Companies' Capital Structure @ December 31, "&amp;TCOS!L4-1&amp;""</f>
        <v>Consolidation of Operating Companies' Capital Structure @ December 31, 2024</v>
      </c>
      <c r="B91" s="1565"/>
      <c r="C91" s="1565"/>
      <c r="D91" s="1565"/>
      <c r="E91" s="1565"/>
      <c r="F91" s="1565"/>
      <c r="G91" s="1565"/>
      <c r="H91" s="1565"/>
      <c r="I91" s="1565"/>
      <c r="J91" s="1565"/>
    </row>
    <row r="92" spans="1:10">
      <c r="A92" s="1565" t="s">
        <v>249</v>
      </c>
      <c r="B92" s="1565"/>
      <c r="C92" s="1565"/>
      <c r="D92" s="1565"/>
      <c r="E92" s="1565"/>
      <c r="F92" s="1565"/>
      <c r="G92" s="1565"/>
      <c r="H92" s="1565"/>
      <c r="I92" s="1565"/>
      <c r="J92" s="1565"/>
    </row>
    <row r="93" spans="1:10">
      <c r="B93" s="899"/>
      <c r="C93" s="902"/>
      <c r="D93" s="902"/>
      <c r="E93" s="902"/>
      <c r="F93" s="902"/>
      <c r="G93" s="902"/>
      <c r="H93" s="902"/>
      <c r="I93" s="902"/>
      <c r="J93" s="902"/>
    </row>
    <row r="94" spans="1:10" ht="76.5">
      <c r="A94" s="888" t="s">
        <v>459</v>
      </c>
      <c r="C94" s="889" t="s">
        <v>506</v>
      </c>
      <c r="D94" s="889"/>
      <c r="E94" s="889" t="s">
        <v>507</v>
      </c>
      <c r="F94" s="889" t="s">
        <v>508</v>
      </c>
      <c r="G94" s="889" t="s">
        <v>509</v>
      </c>
      <c r="H94" s="889" t="s">
        <v>510</v>
      </c>
      <c r="I94" s="889" t="s">
        <v>511</v>
      </c>
      <c r="J94" s="889" t="s">
        <v>512</v>
      </c>
    </row>
    <row r="95" spans="1:10" ht="15">
      <c r="A95" s="846" t="s">
        <v>513</v>
      </c>
    </row>
    <row r="96" spans="1:10">
      <c r="A96" s="888">
        <f>A87+1</f>
        <v>60</v>
      </c>
      <c r="B96" s="850" t="s">
        <v>338</v>
      </c>
      <c r="C96" s="853"/>
      <c r="D96" s="853"/>
      <c r="E96" s="853"/>
      <c r="F96" s="853"/>
      <c r="G96" s="853"/>
      <c r="H96" s="853"/>
      <c r="I96" s="853"/>
      <c r="J96" s="833">
        <f>SUM(C96:I96)</f>
        <v>0</v>
      </c>
    </row>
    <row r="97" spans="1:10">
      <c r="A97" s="888">
        <f>A96+1</f>
        <v>61</v>
      </c>
      <c r="B97" s="850" t="s">
        <v>339</v>
      </c>
      <c r="C97" s="853"/>
      <c r="D97" s="853"/>
      <c r="E97" s="853"/>
      <c r="F97" s="853"/>
      <c r="G97" s="853"/>
      <c r="H97" s="853"/>
      <c r="I97" s="853"/>
      <c r="J97" s="833">
        <f>SUM(C97:I97)</f>
        <v>0</v>
      </c>
    </row>
    <row r="98" spans="1:10">
      <c r="A98" s="888">
        <f>A97+1</f>
        <v>62</v>
      </c>
      <c r="B98" s="851" t="s">
        <v>23</v>
      </c>
      <c r="C98" s="853"/>
      <c r="D98" s="853"/>
      <c r="E98" s="853"/>
      <c r="F98" s="853"/>
      <c r="G98" s="853"/>
      <c r="H98" s="853"/>
      <c r="I98" s="853"/>
      <c r="J98" s="833">
        <f>SUM(C98:I98)</f>
        <v>0</v>
      </c>
    </row>
    <row r="99" spans="1:10">
      <c r="A99" s="888">
        <f>A98+1</f>
        <v>63</v>
      </c>
      <c r="B99" s="851" t="s">
        <v>17</v>
      </c>
      <c r="C99" s="853"/>
      <c r="D99" s="853"/>
      <c r="E99" s="853"/>
      <c r="F99" s="853"/>
      <c r="G99" s="853"/>
      <c r="H99" s="853"/>
      <c r="I99" s="853"/>
      <c r="J99" s="833">
        <f>SUM(C99:I99)</f>
        <v>0</v>
      </c>
    </row>
    <row r="100" spans="1:10">
      <c r="A100" s="888">
        <f>A99+1</f>
        <v>64</v>
      </c>
      <c r="B100" s="851"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2" t="s">
        <v>59</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64" t="s">
        <v>58</v>
      </c>
      <c r="C103" s="1564"/>
      <c r="D103" s="1564"/>
      <c r="E103" s="1564"/>
      <c r="F103" s="1564"/>
      <c r="G103" s="1564"/>
      <c r="H103" s="1564"/>
      <c r="I103" s="1564"/>
      <c r="J103" s="1564"/>
    </row>
    <row r="104" spans="1:10">
      <c r="B104" s="892"/>
      <c r="C104" s="892"/>
      <c r="D104" s="892"/>
      <c r="E104" s="892"/>
      <c r="F104" s="892"/>
      <c r="G104" s="892"/>
      <c r="H104" s="892"/>
      <c r="I104" s="892"/>
      <c r="J104" s="892"/>
    </row>
    <row r="105" spans="1:10" ht="15">
      <c r="A105" s="846" t="s">
        <v>514</v>
      </c>
    </row>
    <row r="106" spans="1:10">
      <c r="A106" s="888">
        <f>A103+1</f>
        <v>67</v>
      </c>
      <c r="B106" s="850" t="s">
        <v>340</v>
      </c>
      <c r="C106" s="146"/>
      <c r="D106" s="146"/>
      <c r="E106" s="146"/>
      <c r="F106" s="146"/>
      <c r="G106" s="146"/>
      <c r="H106" s="146"/>
      <c r="I106" s="146"/>
      <c r="J106" s="490">
        <f t="shared" ref="J106:J111" si="29">SUM(C106:I106)</f>
        <v>0</v>
      </c>
    </row>
    <row r="107" spans="1:10">
      <c r="A107" s="888">
        <f t="shared" ref="A107:A112" si="30">A106+1</f>
        <v>68</v>
      </c>
      <c r="B107" s="850" t="s">
        <v>333</v>
      </c>
      <c r="C107" s="146"/>
      <c r="D107" s="146"/>
      <c r="E107" s="146"/>
      <c r="F107" s="146"/>
      <c r="G107" s="146"/>
      <c r="H107" s="146"/>
      <c r="I107" s="146"/>
      <c r="J107" s="490">
        <f t="shared" si="29"/>
        <v>0</v>
      </c>
    </row>
    <row r="108" spans="1:10">
      <c r="A108" s="888">
        <f t="shared" si="30"/>
        <v>69</v>
      </c>
      <c r="B108" s="850" t="s">
        <v>334</v>
      </c>
      <c r="C108" s="146"/>
      <c r="D108" s="146"/>
      <c r="E108" s="146"/>
      <c r="F108" s="146"/>
      <c r="G108" s="146"/>
      <c r="H108" s="146"/>
      <c r="I108" s="146"/>
      <c r="J108" s="490">
        <f t="shared" si="29"/>
        <v>0</v>
      </c>
    </row>
    <row r="109" spans="1:10">
      <c r="A109" s="888">
        <f t="shared" si="30"/>
        <v>70</v>
      </c>
      <c r="B109" s="850" t="s">
        <v>335</v>
      </c>
      <c r="C109" s="853"/>
      <c r="D109" s="853"/>
      <c r="E109" s="853"/>
      <c r="F109" s="853"/>
      <c r="G109" s="853"/>
      <c r="H109" s="853"/>
      <c r="I109" s="853"/>
      <c r="J109" s="833">
        <f t="shared" si="29"/>
        <v>0</v>
      </c>
    </row>
    <row r="110" spans="1:10">
      <c r="A110" s="888">
        <f t="shared" si="30"/>
        <v>71</v>
      </c>
      <c r="B110" s="850" t="s">
        <v>336</v>
      </c>
      <c r="C110" s="853"/>
      <c r="D110" s="853"/>
      <c r="E110" s="853"/>
      <c r="F110" s="853"/>
      <c r="G110" s="853"/>
      <c r="H110" s="853"/>
      <c r="I110" s="853"/>
      <c r="J110" s="833">
        <f t="shared" si="29"/>
        <v>0</v>
      </c>
    </row>
    <row r="111" spans="1:10">
      <c r="A111" s="888">
        <f t="shared" si="30"/>
        <v>72</v>
      </c>
      <c r="B111" s="893" t="s">
        <v>515</v>
      </c>
      <c r="C111" s="147"/>
      <c r="D111" s="147"/>
      <c r="E111" s="147"/>
      <c r="F111" s="147"/>
      <c r="G111" s="147"/>
      <c r="H111" s="147"/>
      <c r="I111" s="147"/>
      <c r="J111" s="890">
        <f t="shared" si="29"/>
        <v>0</v>
      </c>
    </row>
    <row r="112" spans="1:10">
      <c r="A112" s="888">
        <f t="shared" si="30"/>
        <v>73</v>
      </c>
      <c r="B112" s="894" t="s">
        <v>60</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6" t="s">
        <v>516</v>
      </c>
      <c r="B114" s="896"/>
      <c r="C114" s="896"/>
      <c r="D114" s="896"/>
      <c r="E114" s="896"/>
    </row>
    <row r="115" spans="1:10">
      <c r="A115" s="888">
        <f>A112+1</f>
        <v>74</v>
      </c>
      <c r="B115" s="849" t="s">
        <v>517</v>
      </c>
      <c r="C115" s="854"/>
      <c r="D115" s="917"/>
      <c r="E115" s="918"/>
      <c r="F115" s="917"/>
      <c r="G115" s="917"/>
      <c r="H115" s="854"/>
      <c r="I115" s="917"/>
      <c r="J115" s="897"/>
    </row>
    <row r="116" spans="1:10">
      <c r="A116" s="888">
        <f>A115+1</f>
        <v>75</v>
      </c>
      <c r="B116" s="849" t="s">
        <v>518</v>
      </c>
      <c r="C116" s="855"/>
      <c r="D116" s="919"/>
      <c r="E116" s="855"/>
      <c r="F116" s="919"/>
      <c r="G116" s="919"/>
      <c r="H116" s="855"/>
      <c r="I116" s="919"/>
      <c r="J116" s="898"/>
    </row>
    <row r="117" spans="1:10">
      <c r="A117" s="888">
        <f>A116+1</f>
        <v>76</v>
      </c>
      <c r="B117" s="849" t="s">
        <v>519</v>
      </c>
      <c r="C117" s="146"/>
      <c r="D117" s="920"/>
      <c r="E117" s="146"/>
      <c r="F117" s="920"/>
      <c r="G117" s="920"/>
      <c r="H117" s="146"/>
      <c r="I117" s="920"/>
    </row>
    <row r="118" spans="1:10">
      <c r="A118" s="888">
        <f>A117+1</f>
        <v>77</v>
      </c>
      <c r="B118" s="849" t="str">
        <f>"Monetary Value (Ln "&amp;A116&amp;" * Ln "&amp;A117&amp;")"</f>
        <v>Monetary Value (Ln 75 * Ln 76)</v>
      </c>
      <c r="C118" s="489">
        <f t="shared" ref="C118:I118" si="32">C116*C117</f>
        <v>0</v>
      </c>
      <c r="D118" s="489"/>
      <c r="E118" s="489">
        <f t="shared" si="32"/>
        <v>0</v>
      </c>
      <c r="F118" s="489">
        <f t="shared" si="32"/>
        <v>0</v>
      </c>
      <c r="G118" s="489">
        <f t="shared" si="32"/>
        <v>0</v>
      </c>
      <c r="H118" s="489">
        <f t="shared" si="32"/>
        <v>0</v>
      </c>
      <c r="I118" s="489">
        <f t="shared" si="32"/>
        <v>0</v>
      </c>
      <c r="J118" s="895">
        <f>SUM(C118:I118)</f>
        <v>0</v>
      </c>
    </row>
    <row r="119" spans="1:10">
      <c r="A119" s="888">
        <f>A118+1</f>
        <v>78</v>
      </c>
      <c r="B119" s="849" t="str">
        <f>"Dividend Amount (Ln "&amp;A115&amp;" * Ln "&amp;A118&amp;")"</f>
        <v>Dividend Amount (Ln 74 * Ln 77)</v>
      </c>
      <c r="C119" s="489">
        <f t="shared" ref="C119:I119" si="33">C118*C115</f>
        <v>0</v>
      </c>
      <c r="D119" s="489"/>
      <c r="E119" s="489">
        <f t="shared" si="33"/>
        <v>0</v>
      </c>
      <c r="F119" s="489">
        <f t="shared" si="33"/>
        <v>0</v>
      </c>
      <c r="G119" s="489">
        <f t="shared" si="33"/>
        <v>0</v>
      </c>
      <c r="H119" s="489">
        <f t="shared" si="33"/>
        <v>0</v>
      </c>
      <c r="I119" s="489">
        <f t="shared" si="33"/>
        <v>0</v>
      </c>
      <c r="J119" s="895">
        <f>SUM(C119:I119)</f>
        <v>0</v>
      </c>
    </row>
    <row r="121" spans="1:10">
      <c r="A121" s="888">
        <f>A119+1</f>
        <v>79</v>
      </c>
      <c r="B121" s="849" t="s">
        <v>517</v>
      </c>
      <c r="C121" s="854"/>
      <c r="D121" s="917"/>
      <c r="E121" s="918"/>
      <c r="F121" s="917"/>
      <c r="G121" s="917"/>
      <c r="H121" s="854"/>
      <c r="I121" s="917"/>
    </row>
    <row r="122" spans="1:10">
      <c r="A122" s="888">
        <f>A121+1</f>
        <v>80</v>
      </c>
      <c r="B122" s="849" t="s">
        <v>518</v>
      </c>
      <c r="C122" s="855"/>
      <c r="D122" s="919"/>
      <c r="E122" s="855"/>
      <c r="F122" s="919"/>
      <c r="G122" s="919"/>
      <c r="H122" s="855"/>
      <c r="I122" s="919"/>
    </row>
    <row r="123" spans="1:10">
      <c r="A123" s="888">
        <f>A122+1</f>
        <v>81</v>
      </c>
      <c r="B123" s="849" t="s">
        <v>519</v>
      </c>
      <c r="C123" s="146"/>
      <c r="D123" s="920"/>
      <c r="E123" s="146"/>
      <c r="F123" s="920"/>
      <c r="G123" s="920"/>
      <c r="H123" s="146"/>
      <c r="I123" s="920"/>
    </row>
    <row r="124" spans="1:10">
      <c r="A124" s="888">
        <f>A123+1</f>
        <v>82</v>
      </c>
      <c r="B124" s="849" t="str">
        <f>"Monetary Value (Ln "&amp;A122&amp;" * Ln "&amp;A123&amp;")"</f>
        <v>Monetary Value (Ln 80 * Ln 81)</v>
      </c>
      <c r="C124" s="489">
        <f t="shared" ref="C124:I124" si="34">C122*C123</f>
        <v>0</v>
      </c>
      <c r="D124" s="489"/>
      <c r="E124" s="489">
        <f t="shared" si="34"/>
        <v>0</v>
      </c>
      <c r="F124" s="489">
        <f t="shared" si="34"/>
        <v>0</v>
      </c>
      <c r="G124" s="489">
        <f t="shared" si="34"/>
        <v>0</v>
      </c>
      <c r="H124" s="489">
        <f t="shared" si="34"/>
        <v>0</v>
      </c>
      <c r="I124" s="489">
        <f t="shared" si="34"/>
        <v>0</v>
      </c>
      <c r="J124" s="895">
        <f>SUM(C124:I124)</f>
        <v>0</v>
      </c>
    </row>
    <row r="125" spans="1:10">
      <c r="A125" s="888">
        <f>A124+1</f>
        <v>83</v>
      </c>
      <c r="B125" s="849" t="str">
        <f>"Dividend Amount (Ln "&amp;A121&amp;" * Ln "&amp;A124&amp;")"</f>
        <v>Dividend Amount (Ln 79 * Ln 82)</v>
      </c>
      <c r="C125" s="489">
        <f t="shared" ref="C125:I125" si="35">C124*C121</f>
        <v>0</v>
      </c>
      <c r="D125" s="489"/>
      <c r="E125" s="489">
        <f t="shared" si="35"/>
        <v>0</v>
      </c>
      <c r="F125" s="489">
        <f t="shared" si="35"/>
        <v>0</v>
      </c>
      <c r="G125" s="489">
        <f t="shared" si="35"/>
        <v>0</v>
      </c>
      <c r="H125" s="489">
        <f t="shared" si="35"/>
        <v>0</v>
      </c>
      <c r="I125" s="489">
        <f t="shared" si="35"/>
        <v>0</v>
      </c>
      <c r="J125" s="895">
        <f>SUM(C125:I125)</f>
        <v>0</v>
      </c>
    </row>
    <row r="127" spans="1:10">
      <c r="A127" s="888">
        <f>A125+1</f>
        <v>84</v>
      </c>
      <c r="B127" s="849" t="s">
        <v>517</v>
      </c>
      <c r="C127" s="854"/>
      <c r="D127" s="917"/>
      <c r="E127" s="918"/>
      <c r="F127" s="917"/>
      <c r="G127" s="917"/>
      <c r="H127" s="854"/>
      <c r="I127" s="917"/>
    </row>
    <row r="128" spans="1:10">
      <c r="A128" s="888">
        <f>A127+1</f>
        <v>85</v>
      </c>
      <c r="B128" s="849" t="s">
        <v>518</v>
      </c>
      <c r="C128" s="855"/>
      <c r="D128" s="919"/>
      <c r="E128" s="855"/>
      <c r="F128" s="919"/>
      <c r="G128" s="919"/>
      <c r="H128" s="855"/>
      <c r="I128" s="919"/>
    </row>
    <row r="129" spans="1:10">
      <c r="A129" s="888">
        <f>A128+1</f>
        <v>86</v>
      </c>
      <c r="B129" s="849" t="s">
        <v>519</v>
      </c>
      <c r="C129" s="146"/>
      <c r="D129" s="920"/>
      <c r="E129" s="146"/>
      <c r="F129" s="920"/>
      <c r="G129" s="920"/>
      <c r="H129" s="146"/>
      <c r="I129" s="920"/>
    </row>
    <row r="130" spans="1:10">
      <c r="A130" s="888">
        <f>A129+1</f>
        <v>87</v>
      </c>
      <c r="B130" s="849" t="str">
        <f>"Monetary Value (Ln "&amp;A128&amp;" * Ln "&amp;A129&amp;")"</f>
        <v>Monetary Value (Ln 85 * Ln 86)</v>
      </c>
      <c r="C130" s="489">
        <f t="shared" ref="C130:I130" si="36">C128*C129</f>
        <v>0</v>
      </c>
      <c r="D130" s="489"/>
      <c r="E130" s="489">
        <f t="shared" si="36"/>
        <v>0</v>
      </c>
      <c r="F130" s="489">
        <f t="shared" si="36"/>
        <v>0</v>
      </c>
      <c r="G130" s="489">
        <f t="shared" si="36"/>
        <v>0</v>
      </c>
      <c r="H130" s="489">
        <f t="shared" si="36"/>
        <v>0</v>
      </c>
      <c r="I130" s="489">
        <f t="shared" si="36"/>
        <v>0</v>
      </c>
      <c r="J130" s="895">
        <f>SUM(C130:I130)</f>
        <v>0</v>
      </c>
    </row>
    <row r="131" spans="1:10">
      <c r="A131" s="888">
        <f>A130+1</f>
        <v>88</v>
      </c>
      <c r="B131" s="849" t="str">
        <f>"Dividend Amount (Ln "&amp;A127&amp;" * Ln "&amp;A130&amp;")"</f>
        <v>Dividend Amount (Ln 84 * Ln 87)</v>
      </c>
      <c r="C131" s="489">
        <f t="shared" ref="C131:I131" si="37">C130*C127</f>
        <v>0</v>
      </c>
      <c r="D131" s="489"/>
      <c r="E131" s="489">
        <f t="shared" si="37"/>
        <v>0</v>
      </c>
      <c r="F131" s="489">
        <f t="shared" si="37"/>
        <v>0</v>
      </c>
      <c r="G131" s="489">
        <f t="shared" si="37"/>
        <v>0</v>
      </c>
      <c r="H131" s="489">
        <f t="shared" si="37"/>
        <v>0</v>
      </c>
      <c r="I131" s="489">
        <f t="shared" si="37"/>
        <v>0</v>
      </c>
      <c r="J131" s="895">
        <f>SUM(C131:I131)</f>
        <v>0</v>
      </c>
    </row>
    <row r="133" spans="1:10">
      <c r="A133" s="888">
        <f>A131+1</f>
        <v>89</v>
      </c>
      <c r="B133" s="849" t="s">
        <v>517</v>
      </c>
      <c r="C133" s="854"/>
      <c r="D133" s="917"/>
      <c r="E133" s="918"/>
      <c r="F133" s="917"/>
      <c r="G133" s="917"/>
      <c r="H133" s="854"/>
      <c r="I133" s="917"/>
    </row>
    <row r="134" spans="1:10">
      <c r="A134" s="888">
        <f>A133+1</f>
        <v>90</v>
      </c>
      <c r="B134" s="849" t="s">
        <v>518</v>
      </c>
      <c r="C134" s="855"/>
      <c r="D134" s="919"/>
      <c r="E134" s="855"/>
      <c r="F134" s="919"/>
      <c r="G134" s="919"/>
      <c r="H134" s="855"/>
      <c r="I134" s="919"/>
    </row>
    <row r="135" spans="1:10">
      <c r="A135" s="888">
        <f>A134+1</f>
        <v>91</v>
      </c>
      <c r="B135" s="849" t="s">
        <v>519</v>
      </c>
      <c r="C135" s="146"/>
      <c r="D135" s="920"/>
      <c r="E135" s="146"/>
      <c r="F135" s="920"/>
      <c r="G135" s="920"/>
      <c r="H135" s="146"/>
      <c r="I135" s="920"/>
    </row>
    <row r="136" spans="1:10">
      <c r="A136" s="888">
        <f>A135+1</f>
        <v>92</v>
      </c>
      <c r="B136" s="849" t="str">
        <f>"Monetary Value (Ln "&amp;A134&amp;" * Ln "&amp;A135&amp;")"</f>
        <v>Monetary Value (Ln 90 * Ln 91)</v>
      </c>
      <c r="C136" s="489">
        <f t="shared" ref="C136:I136" si="38">C134*C135</f>
        <v>0</v>
      </c>
      <c r="D136" s="489"/>
      <c r="E136" s="489">
        <f t="shared" si="38"/>
        <v>0</v>
      </c>
      <c r="F136" s="489">
        <f t="shared" si="38"/>
        <v>0</v>
      </c>
      <c r="G136" s="489">
        <f t="shared" si="38"/>
        <v>0</v>
      </c>
      <c r="H136" s="489">
        <f t="shared" si="38"/>
        <v>0</v>
      </c>
      <c r="I136" s="489">
        <f t="shared" si="38"/>
        <v>0</v>
      </c>
      <c r="J136" s="895">
        <f>SUM(C136:I136)</f>
        <v>0</v>
      </c>
    </row>
    <row r="137" spans="1:10">
      <c r="A137" s="888">
        <f>A136+1</f>
        <v>93</v>
      </c>
      <c r="B137" s="849" t="str">
        <f>"Dividend Amount (Ln "&amp;A133&amp;" * Ln "&amp;A136&amp;")"</f>
        <v>Dividend Amount (Ln 89 * Ln 92)</v>
      </c>
      <c r="C137" s="489">
        <f t="shared" ref="C137:I137" si="39">C136*C133</f>
        <v>0</v>
      </c>
      <c r="D137" s="489"/>
      <c r="E137" s="489">
        <f t="shared" si="39"/>
        <v>0</v>
      </c>
      <c r="F137" s="489">
        <f t="shared" si="39"/>
        <v>0</v>
      </c>
      <c r="G137" s="489">
        <f t="shared" si="39"/>
        <v>0</v>
      </c>
      <c r="H137" s="489">
        <f t="shared" si="39"/>
        <v>0</v>
      </c>
      <c r="I137" s="489">
        <f t="shared" si="39"/>
        <v>0</v>
      </c>
      <c r="J137" s="895">
        <f>SUM(C137:I137)</f>
        <v>0</v>
      </c>
    </row>
    <row r="138" spans="1:10">
      <c r="B138" s="849"/>
    </row>
    <row r="139" spans="1:10">
      <c r="A139" s="888">
        <f>A137+1</f>
        <v>94</v>
      </c>
      <c r="B139" s="847"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7"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6" t="s">
        <v>520</v>
      </c>
    </row>
    <row r="143" spans="1:10">
      <c r="A143" s="888">
        <f>A140+1</f>
        <v>96</v>
      </c>
      <c r="B143" s="665" t="s">
        <v>521</v>
      </c>
      <c r="C143" s="146"/>
      <c r="D143" s="146"/>
      <c r="E143" s="146"/>
      <c r="F143" s="146"/>
      <c r="G143" s="146"/>
      <c r="H143" s="146"/>
      <c r="I143" s="146"/>
      <c r="J143" s="895">
        <f>SUM(C143:I143)</f>
        <v>0</v>
      </c>
    </row>
    <row r="144" spans="1:10">
      <c r="A144" s="888">
        <f>A143+1</f>
        <v>97</v>
      </c>
      <c r="B144" s="665" t="str">
        <f>"Less: Preferred Stock (Ln "&amp;A139&amp;" Above)"</f>
        <v>Less: Preferred Stock (Ln 94 Above)</v>
      </c>
      <c r="C144" s="490">
        <f>C139</f>
        <v>0</v>
      </c>
      <c r="D144" s="490"/>
      <c r="E144" s="490">
        <f>E139</f>
        <v>0</v>
      </c>
      <c r="F144" s="490">
        <f>F139</f>
        <v>0</v>
      </c>
      <c r="G144" s="490">
        <f>G139</f>
        <v>0</v>
      </c>
      <c r="H144" s="490">
        <f>H139</f>
        <v>0</v>
      </c>
      <c r="I144" s="490">
        <f>I139</f>
        <v>0</v>
      </c>
      <c r="J144" s="895">
        <f>SUM(C144:I144)</f>
        <v>0</v>
      </c>
    </row>
    <row r="145" spans="1:10">
      <c r="A145" s="888">
        <f>A144+1</f>
        <v>98</v>
      </c>
      <c r="B145" s="665" t="s">
        <v>522</v>
      </c>
      <c r="C145" s="853"/>
      <c r="D145" s="853"/>
      <c r="E145" s="853"/>
      <c r="F145" s="853"/>
      <c r="G145" s="853"/>
      <c r="H145" s="853"/>
      <c r="I145" s="853"/>
      <c r="J145" s="895">
        <f>SUM(C145:I145)</f>
        <v>0</v>
      </c>
    </row>
    <row r="146" spans="1:10">
      <c r="A146" s="888">
        <f>A145+1</f>
        <v>99</v>
      </c>
      <c r="B146" s="665" t="s">
        <v>523</v>
      </c>
      <c r="C146" s="147"/>
      <c r="D146" s="147"/>
      <c r="E146" s="147"/>
      <c r="F146" s="147"/>
      <c r="G146" s="147"/>
      <c r="H146" s="147"/>
      <c r="I146" s="147"/>
      <c r="J146" s="900">
        <f>SUM(C146:I146)</f>
        <v>0</v>
      </c>
    </row>
    <row r="147" spans="1:10">
      <c r="A147" s="888">
        <f>A146+1</f>
        <v>100</v>
      </c>
      <c r="B147" s="848" t="s">
        <v>524</v>
      </c>
      <c r="C147" s="833">
        <f t="shared" ref="C147:J147" si="41">C143-C144-C145-C146</f>
        <v>0</v>
      </c>
      <c r="D147" s="833"/>
      <c r="E147" s="833">
        <f t="shared" si="41"/>
        <v>0</v>
      </c>
      <c r="F147" s="833">
        <f t="shared" si="41"/>
        <v>0</v>
      </c>
      <c r="G147" s="833">
        <f t="shared" si="41"/>
        <v>0</v>
      </c>
      <c r="H147" s="833">
        <f t="shared" si="41"/>
        <v>0</v>
      </c>
      <c r="I147" s="833">
        <f t="shared" si="41"/>
        <v>0</v>
      </c>
      <c r="J147" s="833">
        <f t="shared" si="41"/>
        <v>0</v>
      </c>
    </row>
    <row r="149" spans="1:10" ht="15">
      <c r="A149" s="846" t="s">
        <v>525</v>
      </c>
    </row>
    <row r="150" spans="1:10">
      <c r="A150" s="888">
        <f>A147+1</f>
        <v>101</v>
      </c>
      <c r="B150" s="469"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9"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9"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526</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9"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9"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9"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9"/>
      <c r="C158" s="903"/>
      <c r="D158" s="903"/>
      <c r="E158" s="903"/>
      <c r="F158" s="903"/>
      <c r="G158" s="903"/>
      <c r="H158" s="903"/>
      <c r="I158" s="903"/>
      <c r="J158" s="903"/>
    </row>
    <row r="159" spans="1:10">
      <c r="A159" s="902">
        <f>A157+1</f>
        <v>108</v>
      </c>
      <c r="B159" s="847" t="s">
        <v>556</v>
      </c>
      <c r="C159" s="904"/>
      <c r="D159" s="904"/>
      <c r="E159" s="904"/>
      <c r="F159" s="904"/>
      <c r="G159" s="904"/>
      <c r="H159" s="904"/>
      <c r="I159" s="904"/>
      <c r="J159" s="904"/>
    </row>
    <row r="160" spans="1:10">
      <c r="A160" s="902"/>
      <c r="B160" s="469"/>
      <c r="C160" s="903"/>
      <c r="D160" s="903"/>
      <c r="E160" s="903"/>
      <c r="F160" s="903"/>
      <c r="G160" s="903"/>
      <c r="H160" s="903"/>
      <c r="I160" s="903"/>
      <c r="J160" s="903"/>
    </row>
    <row r="161" spans="1:10">
      <c r="A161" s="902">
        <f>A159+1</f>
        <v>109</v>
      </c>
      <c r="B161" s="847" t="s">
        <v>556</v>
      </c>
      <c r="C161" s="903"/>
      <c r="D161" s="903"/>
      <c r="E161" s="903"/>
      <c r="F161" s="903"/>
      <c r="G161" s="903"/>
      <c r="H161" s="903"/>
      <c r="I161" s="903"/>
      <c r="J161" s="903"/>
    </row>
    <row r="162" spans="1:10">
      <c r="A162" s="902">
        <f>A161+1</f>
        <v>110</v>
      </c>
      <c r="B162" s="847" t="s">
        <v>556</v>
      </c>
      <c r="C162" s="903"/>
      <c r="D162" s="903"/>
      <c r="E162" s="903"/>
      <c r="F162" s="903"/>
      <c r="G162" s="903"/>
      <c r="H162" s="903"/>
      <c r="I162" s="903"/>
      <c r="J162" s="903"/>
    </row>
    <row r="163" spans="1:10">
      <c r="A163" s="902">
        <f>A162+1</f>
        <v>111</v>
      </c>
      <c r="B163" s="847" t="s">
        <v>556</v>
      </c>
      <c r="C163" s="903"/>
      <c r="D163" s="903"/>
      <c r="E163" s="903"/>
      <c r="F163" s="903"/>
      <c r="G163" s="903"/>
      <c r="H163" s="903"/>
      <c r="I163" s="903"/>
      <c r="J163" s="903"/>
    </row>
    <row r="164" spans="1:10">
      <c r="B164" s="469"/>
      <c r="C164" s="901"/>
      <c r="D164" s="901"/>
      <c r="E164" s="901"/>
      <c r="F164" s="901"/>
      <c r="G164" s="901"/>
      <c r="H164" s="901"/>
      <c r="I164" s="901"/>
      <c r="J164" s="901"/>
    </row>
    <row r="165" spans="1:10" ht="15">
      <c r="A165" s="846" t="s">
        <v>527</v>
      </c>
    </row>
    <row r="166" spans="1:10">
      <c r="A166" s="888">
        <f>A163+1</f>
        <v>112</v>
      </c>
      <c r="B166" s="469"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9"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9" t="s">
        <v>528</v>
      </c>
      <c r="C168" s="901">
        <v>0.1149</v>
      </c>
      <c r="D168" s="901"/>
      <c r="E168" s="901">
        <v>0.1149</v>
      </c>
      <c r="F168" s="901">
        <v>0.1149</v>
      </c>
      <c r="G168" s="901">
        <v>0.1149</v>
      </c>
      <c r="H168" s="901">
        <v>0.1149</v>
      </c>
      <c r="I168" s="901">
        <v>0.1149</v>
      </c>
      <c r="J168" s="901">
        <v>0.1149</v>
      </c>
    </row>
    <row r="170" spans="1:10" ht="15">
      <c r="A170" s="846" t="s">
        <v>529</v>
      </c>
    </row>
    <row r="171" spans="1:10">
      <c r="A171" s="888">
        <f>A168+1</f>
        <v>115</v>
      </c>
      <c r="B171" s="469"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9"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9"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526</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65" t="s">
        <v>505</v>
      </c>
      <c r="B177" s="1565"/>
      <c r="C177" s="1565"/>
      <c r="D177" s="1565"/>
      <c r="E177" s="1565"/>
      <c r="F177" s="1565"/>
      <c r="G177" s="1565"/>
      <c r="H177" s="1565"/>
      <c r="I177" s="1565"/>
      <c r="J177" s="1565"/>
    </row>
    <row r="178" spans="1:10">
      <c r="A178" s="1565" t="s">
        <v>530</v>
      </c>
      <c r="B178" s="1565"/>
      <c r="C178" s="1565"/>
      <c r="D178" s="1565"/>
      <c r="E178" s="1565"/>
      <c r="F178" s="1565"/>
      <c r="G178" s="1565"/>
      <c r="H178" s="1565"/>
      <c r="I178" s="1565"/>
      <c r="J178" s="1565"/>
    </row>
    <row r="179" spans="1:10">
      <c r="A179" s="1565" t="s">
        <v>250</v>
      </c>
      <c r="B179" s="1565"/>
      <c r="C179" s="1565"/>
      <c r="D179" s="1565"/>
      <c r="E179" s="1565"/>
      <c r="F179" s="1565"/>
      <c r="G179" s="1565"/>
      <c r="H179" s="1565"/>
      <c r="I179" s="1565"/>
      <c r="J179" s="1565"/>
    </row>
    <row r="181" spans="1:10" ht="76.5">
      <c r="A181" s="888" t="s">
        <v>459</v>
      </c>
      <c r="C181" s="889" t="s">
        <v>506</v>
      </c>
      <c r="D181" s="889"/>
      <c r="E181" s="889" t="s">
        <v>507</v>
      </c>
      <c r="F181" s="889" t="s">
        <v>508</v>
      </c>
      <c r="G181" s="889" t="s">
        <v>509</v>
      </c>
      <c r="H181" s="889" t="s">
        <v>510</v>
      </c>
      <c r="I181" s="889" t="s">
        <v>511</v>
      </c>
      <c r="J181" s="889" t="s">
        <v>512</v>
      </c>
    </row>
    <row r="182" spans="1:10" ht="15">
      <c r="A182" s="846" t="s">
        <v>531</v>
      </c>
    </row>
    <row r="183" spans="1:10">
      <c r="A183" s="888">
        <f>A174+1</f>
        <v>119</v>
      </c>
      <c r="B183" s="850" t="str">
        <f>"Average Bonds (Ln "&amp;A9&amp;" + Ln "&amp;A96&amp;") / 2"</f>
        <v>Average Bonds (Ln 1 + Ln 60) / 2</v>
      </c>
      <c r="C183" s="833" t="e">
        <f t="shared" ref="C183:I187" si="55">AVERAGE(C9,C96)</f>
        <v>#DIV/0!</v>
      </c>
      <c r="D183" s="833"/>
      <c r="E183" s="833" t="e">
        <f t="shared" si="55"/>
        <v>#DIV/0!</v>
      </c>
      <c r="F183" s="833" t="e">
        <f t="shared" si="55"/>
        <v>#DIV/0!</v>
      </c>
      <c r="G183" s="833" t="e">
        <f t="shared" si="55"/>
        <v>#DIV/0!</v>
      </c>
      <c r="H183" s="833" t="e">
        <f t="shared" si="55"/>
        <v>#DIV/0!</v>
      </c>
      <c r="I183" s="833" t="e">
        <f t="shared" si="55"/>
        <v>#DIV/0!</v>
      </c>
      <c r="J183" s="833" t="e">
        <f>SUM(C183:I183)</f>
        <v>#DIV/0!</v>
      </c>
    </row>
    <row r="184" spans="1:10">
      <c r="A184" s="888">
        <f>A183+1</f>
        <v>120</v>
      </c>
      <c r="B184" s="850" t="str">
        <f>"Less: Average Reacquired Bonds (Ln "&amp;A10&amp;" + Ln "&amp;A97&amp;") / 2"</f>
        <v>Less: Average Reacquired Bonds (Ln 2 + Ln 61) / 2</v>
      </c>
      <c r="C184" s="833" t="e">
        <f t="shared" si="55"/>
        <v>#DIV/0!</v>
      </c>
      <c r="D184" s="833"/>
      <c r="E184" s="833" t="e">
        <f t="shared" si="55"/>
        <v>#DIV/0!</v>
      </c>
      <c r="F184" s="833" t="e">
        <f t="shared" si="55"/>
        <v>#DIV/0!</v>
      </c>
      <c r="G184" s="833" t="e">
        <f t="shared" si="55"/>
        <v>#DIV/0!</v>
      </c>
      <c r="H184" s="833" t="e">
        <f t="shared" si="55"/>
        <v>#DIV/0!</v>
      </c>
      <c r="I184" s="833" t="e">
        <f t="shared" si="55"/>
        <v>#DIV/0!</v>
      </c>
      <c r="J184" s="833" t="e">
        <f>SUM(C184:I184)</f>
        <v>#DIV/0!</v>
      </c>
    </row>
    <row r="185" spans="1:10">
      <c r="A185" s="888">
        <f>A184+1</f>
        <v>121</v>
      </c>
      <c r="B185" s="851" t="str">
        <f>"Average LT Advances from Assoc. Companies (Ln "&amp;A11&amp;" + Ln "&amp;A98&amp;") / 2"</f>
        <v>Average LT Advances from Assoc. Companies (Ln 3 + Ln 62) / 2</v>
      </c>
      <c r="C185" s="833" t="e">
        <f t="shared" si="55"/>
        <v>#DIV/0!</v>
      </c>
      <c r="D185" s="833"/>
      <c r="E185" s="833" t="e">
        <f t="shared" si="55"/>
        <v>#DIV/0!</v>
      </c>
      <c r="F185" s="833" t="e">
        <f t="shared" si="55"/>
        <v>#DIV/0!</v>
      </c>
      <c r="G185" s="833" t="e">
        <f t="shared" si="55"/>
        <v>#DIV/0!</v>
      </c>
      <c r="H185" s="833" t="e">
        <f t="shared" si="55"/>
        <v>#DIV/0!</v>
      </c>
      <c r="I185" s="833" t="e">
        <f t="shared" si="55"/>
        <v>#DIV/0!</v>
      </c>
      <c r="J185" s="833" t="e">
        <f>SUM(C185:I185)</f>
        <v>#DIV/0!</v>
      </c>
    </row>
    <row r="186" spans="1:10">
      <c r="A186" s="888">
        <f>A185+1</f>
        <v>122</v>
      </c>
      <c r="B186" s="851" t="str">
        <f>"Average Senior Unsecured Notes (Ln "&amp;A12&amp;" + Ln "&amp;A99&amp;") / 2"</f>
        <v>Average Senior Unsecured Notes (Ln 4 + Ln 63) / 2</v>
      </c>
      <c r="C186" s="833" t="e">
        <f t="shared" si="55"/>
        <v>#DIV/0!</v>
      </c>
      <c r="D186" s="833"/>
      <c r="E186" s="833" t="e">
        <f t="shared" si="55"/>
        <v>#DIV/0!</v>
      </c>
      <c r="F186" s="833" t="e">
        <f t="shared" si="55"/>
        <v>#DIV/0!</v>
      </c>
      <c r="G186" s="833" t="e">
        <f t="shared" si="55"/>
        <v>#DIV/0!</v>
      </c>
      <c r="H186" s="833" t="e">
        <f t="shared" si="55"/>
        <v>#DIV/0!</v>
      </c>
      <c r="I186" s="833" t="e">
        <f t="shared" si="55"/>
        <v>#DIV/0!</v>
      </c>
      <c r="J186" s="833" t="e">
        <f>SUM(C186:I186)</f>
        <v>#DIV/0!</v>
      </c>
    </row>
    <row r="187" spans="1:10">
      <c r="A187" s="888">
        <f>A186+1</f>
        <v>123</v>
      </c>
      <c r="B187" s="851"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2" t="s">
        <v>532</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64" t="s">
        <v>57</v>
      </c>
      <c r="C190" s="1564"/>
      <c r="D190" s="1564"/>
      <c r="E190" s="1564"/>
      <c r="F190" s="1564"/>
      <c r="G190" s="1564"/>
      <c r="H190" s="1564"/>
      <c r="I190" s="1564"/>
      <c r="J190" s="1564"/>
    </row>
    <row r="191" spans="1:10" s="902" customFormat="1">
      <c r="A191" s="909"/>
      <c r="B191" s="892"/>
      <c r="C191" s="892"/>
      <c r="D191" s="892"/>
      <c r="E191" s="892"/>
      <c r="F191" s="892"/>
      <c r="G191" s="892"/>
      <c r="H191" s="892"/>
      <c r="I191" s="892"/>
      <c r="J191" s="892"/>
    </row>
    <row r="192" spans="1:10" ht="15">
      <c r="A192" s="846"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1" t="str">
        <f t="shared" ref="B193:I193" si="57">B19</f>
        <v>Interest on Long Term Debt (256-257.33.i)</v>
      </c>
      <c r="C193" s="490">
        <f t="shared" si="57"/>
        <v>0</v>
      </c>
      <c r="D193" s="490"/>
      <c r="E193" s="490">
        <f t="shared" si="57"/>
        <v>0</v>
      </c>
      <c r="F193" s="490">
        <f t="shared" si="57"/>
        <v>0</v>
      </c>
      <c r="G193" s="490">
        <f t="shared" si="57"/>
        <v>0</v>
      </c>
      <c r="H193" s="490">
        <f t="shared" si="57"/>
        <v>0</v>
      </c>
      <c r="I193" s="490">
        <f t="shared" si="57"/>
        <v>0</v>
      </c>
      <c r="J193" s="490">
        <f t="shared" ref="J193:J198" si="58">SUM(C193:I193)</f>
        <v>0</v>
      </c>
    </row>
    <row r="194" spans="1:10">
      <c r="A194" s="902">
        <f t="shared" ref="A194:A199" si="59">A193+1</f>
        <v>127</v>
      </c>
      <c r="B194" s="851" t="str">
        <f t="shared" ref="B194:C198" si="60">B20</f>
        <v>Amort of Debt Discount &amp; Expense (117.63.c)</v>
      </c>
      <c r="C194" s="490">
        <f>C20</f>
        <v>0</v>
      </c>
      <c r="D194" s="490"/>
      <c r="E194" s="490">
        <f t="shared" ref="E194:I195" si="61">E20</f>
        <v>0</v>
      </c>
      <c r="F194" s="490">
        <f t="shared" si="61"/>
        <v>0</v>
      </c>
      <c r="G194" s="490">
        <f t="shared" si="61"/>
        <v>0</v>
      </c>
      <c r="H194" s="490">
        <f t="shared" si="61"/>
        <v>0</v>
      </c>
      <c r="I194" s="490">
        <f t="shared" si="61"/>
        <v>0</v>
      </c>
      <c r="J194" s="490">
        <f t="shared" si="58"/>
        <v>0</v>
      </c>
    </row>
    <row r="195" spans="1:10">
      <c r="A195" s="902">
        <f t="shared" si="59"/>
        <v>128</v>
      </c>
      <c r="B195" s="851" t="str">
        <f t="shared" si="60"/>
        <v>Amort of Loss on Reacquired Debt (117.64.c)</v>
      </c>
      <c r="C195" s="490">
        <f t="shared" si="60"/>
        <v>0</v>
      </c>
      <c r="D195" s="490"/>
      <c r="E195" s="490">
        <f t="shared" si="61"/>
        <v>0</v>
      </c>
      <c r="F195" s="490">
        <f t="shared" si="61"/>
        <v>0</v>
      </c>
      <c r="G195" s="490">
        <f t="shared" si="61"/>
        <v>0</v>
      </c>
      <c r="H195" s="490">
        <f t="shared" si="61"/>
        <v>0</v>
      </c>
      <c r="I195" s="490">
        <f t="shared" si="61"/>
        <v>0</v>
      </c>
      <c r="J195" s="490">
        <f t="shared" si="58"/>
        <v>0</v>
      </c>
    </row>
    <row r="196" spans="1:10">
      <c r="A196" s="902">
        <f t="shared" si="59"/>
        <v>129</v>
      </c>
      <c r="B196" s="851" t="str">
        <f>B22</f>
        <v>Less: Amort of Premium on Debt (117.65.c)</v>
      </c>
      <c r="C196" s="490">
        <f t="shared" ref="C196:I196" si="62">C22</f>
        <v>0</v>
      </c>
      <c r="D196" s="490"/>
      <c r="E196" s="490">
        <f t="shared" si="62"/>
        <v>0</v>
      </c>
      <c r="F196" s="490">
        <f t="shared" si="62"/>
        <v>0</v>
      </c>
      <c r="G196" s="490">
        <f t="shared" si="62"/>
        <v>0</v>
      </c>
      <c r="H196" s="490">
        <f t="shared" si="62"/>
        <v>0</v>
      </c>
      <c r="I196" s="490">
        <f t="shared" si="62"/>
        <v>0</v>
      </c>
      <c r="J196" s="833">
        <f t="shared" si="58"/>
        <v>0</v>
      </c>
    </row>
    <row r="197" spans="1:10">
      <c r="A197" s="902">
        <f t="shared" si="59"/>
        <v>130</v>
      </c>
      <c r="B197" s="851" t="str">
        <f t="shared" si="60"/>
        <v>Less: Amort of Gain on Reacquired Debt (117.66.c)</v>
      </c>
      <c r="C197" s="490">
        <f>C23</f>
        <v>0</v>
      </c>
      <c r="D197" s="490"/>
      <c r="E197" s="490">
        <f t="shared" ref="E197:I198" si="63">E23</f>
        <v>0</v>
      </c>
      <c r="F197" s="490">
        <f t="shared" si="63"/>
        <v>0</v>
      </c>
      <c r="G197" s="490">
        <f t="shared" si="63"/>
        <v>0</v>
      </c>
      <c r="H197" s="490">
        <f t="shared" si="63"/>
        <v>0</v>
      </c>
      <c r="I197" s="490">
        <f t="shared" si="63"/>
        <v>0</v>
      </c>
      <c r="J197" s="833">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6"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9"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9"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6" t="s">
        <v>533</v>
      </c>
    </row>
    <row r="206" spans="1:10">
      <c r="A206" s="888">
        <f>A203+1</f>
        <v>135</v>
      </c>
      <c r="B206" s="665" t="str">
        <f>"Average Proprietary Capital (Ln "&amp;A56&amp;" + Ln "&amp;A143&amp;") / 2"</f>
        <v>Average Proprietary Capital (Ln 37 + Ln 96) / 2</v>
      </c>
      <c r="C206" s="490" t="e">
        <f t="shared" ref="C206:I206" si="67">AVERAGE(C56,C143)</f>
        <v>#DIV/0!</v>
      </c>
      <c r="D206" s="490"/>
      <c r="E206" s="490" t="e">
        <f t="shared" si="67"/>
        <v>#DIV/0!</v>
      </c>
      <c r="F206" s="490" t="e">
        <f t="shared" si="67"/>
        <v>#DIV/0!</v>
      </c>
      <c r="G206" s="490" t="e">
        <f t="shared" si="67"/>
        <v>#DIV/0!</v>
      </c>
      <c r="H206" s="490" t="e">
        <f t="shared" si="67"/>
        <v>#DIV/0!</v>
      </c>
      <c r="I206" s="490" t="e">
        <f t="shared" si="67"/>
        <v>#DIV/0!</v>
      </c>
      <c r="J206" s="895" t="e">
        <f>SUM(C206:I206)</f>
        <v>#DIV/0!</v>
      </c>
    </row>
    <row r="207" spans="1:10">
      <c r="A207" s="888">
        <f>A206+1</f>
        <v>136</v>
      </c>
      <c r="B207" s="665" t="str">
        <f>"Less: Average Preferred Stock (Ln "&amp;A202&amp;" Above)"</f>
        <v>Less: Average Preferred Stock (Ln 133 Above)</v>
      </c>
      <c r="C207" s="490">
        <f t="shared" ref="C207:H207" si="68">C202</f>
        <v>0</v>
      </c>
      <c r="D207" s="490"/>
      <c r="E207" s="490">
        <f t="shared" si="68"/>
        <v>0</v>
      </c>
      <c r="F207" s="490">
        <f t="shared" si="68"/>
        <v>0</v>
      </c>
      <c r="G207" s="490">
        <f t="shared" si="68"/>
        <v>0</v>
      </c>
      <c r="H207" s="490">
        <f t="shared" si="68"/>
        <v>0</v>
      </c>
      <c r="I207" s="490">
        <f>I202</f>
        <v>0</v>
      </c>
      <c r="J207" s="895">
        <f>SUM(C207:I207)</f>
        <v>0</v>
      </c>
    </row>
    <row r="208" spans="1:10">
      <c r="A208" s="888">
        <f>A207+1</f>
        <v>137</v>
      </c>
      <c r="B208" s="665" t="str">
        <f>"Less: Average Account 216.1 (Ln "&amp;A58&amp;" + Ln "&amp;A145&amp;") / 2"</f>
        <v>Less: Average Account 216.1 (Ln 39 + Ln 98) / 2</v>
      </c>
      <c r="C208" s="490" t="e">
        <f t="shared" ref="C208:I209" si="69">AVERAGE(C58,C145)</f>
        <v>#DIV/0!</v>
      </c>
      <c r="D208" s="490"/>
      <c r="E208" s="490" t="e">
        <f t="shared" si="69"/>
        <v>#DIV/0!</v>
      </c>
      <c r="F208" s="490" t="e">
        <f t="shared" si="69"/>
        <v>#DIV/0!</v>
      </c>
      <c r="G208" s="490" t="e">
        <f t="shared" si="69"/>
        <v>#DIV/0!</v>
      </c>
      <c r="H208" s="490" t="e">
        <f t="shared" si="69"/>
        <v>#DIV/0!</v>
      </c>
      <c r="I208" s="490" t="e">
        <f t="shared" si="69"/>
        <v>#DIV/0!</v>
      </c>
      <c r="J208" s="895" t="e">
        <f>SUM(C208:I208)</f>
        <v>#DIV/0!</v>
      </c>
    </row>
    <row r="209" spans="1:12">
      <c r="A209" s="888">
        <f>A208+1</f>
        <v>138</v>
      </c>
      <c r="B209" s="665"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8" t="s">
        <v>331</v>
      </c>
      <c r="C210" s="833" t="e">
        <f t="shared" ref="C210:J210" si="70">C206-C207-C208-C209</f>
        <v>#DIV/0!</v>
      </c>
      <c r="D210" s="833"/>
      <c r="E210" s="833" t="e">
        <f t="shared" si="70"/>
        <v>#DIV/0!</v>
      </c>
      <c r="F210" s="833" t="e">
        <f t="shared" si="70"/>
        <v>#DIV/0!</v>
      </c>
      <c r="G210" s="833" t="e">
        <f t="shared" si="70"/>
        <v>#DIV/0!</v>
      </c>
      <c r="H210" s="833" t="e">
        <f t="shared" si="70"/>
        <v>#DIV/0!</v>
      </c>
      <c r="I210" s="833" t="e">
        <f t="shared" si="70"/>
        <v>#DIV/0!</v>
      </c>
      <c r="J210" s="833" t="e">
        <f t="shared" si="70"/>
        <v>#DIV/0!</v>
      </c>
    </row>
    <row r="212" spans="1:12" ht="15">
      <c r="A212" s="846" t="s">
        <v>525</v>
      </c>
    </row>
    <row r="213" spans="1:12">
      <c r="A213" s="888">
        <f>A210+1</f>
        <v>140</v>
      </c>
      <c r="B213" s="469"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9"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9"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534</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9"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9"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9"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9"/>
      <c r="C221" s="903"/>
      <c r="D221" s="903"/>
      <c r="E221" s="903"/>
      <c r="F221" s="903"/>
      <c r="G221" s="903"/>
      <c r="H221" s="903"/>
      <c r="I221" s="903"/>
      <c r="J221" s="903"/>
    </row>
    <row r="222" spans="1:12">
      <c r="A222" s="902">
        <f>A220+1</f>
        <v>147</v>
      </c>
      <c r="B222" s="847" t="s">
        <v>556</v>
      </c>
      <c r="C222" s="903"/>
      <c r="D222" s="903"/>
      <c r="E222" s="903"/>
      <c r="F222" s="903"/>
      <c r="G222" s="903"/>
      <c r="H222" s="903"/>
      <c r="I222" s="903"/>
      <c r="J222" s="903"/>
    </row>
    <row r="223" spans="1:12">
      <c r="A223" s="902"/>
      <c r="B223" s="469"/>
      <c r="C223" s="903"/>
      <c r="D223" s="903"/>
      <c r="E223" s="903"/>
      <c r="F223" s="903"/>
      <c r="G223" s="903"/>
      <c r="H223" s="903"/>
      <c r="I223" s="903"/>
      <c r="J223" s="903"/>
    </row>
    <row r="224" spans="1:12">
      <c r="A224" s="902">
        <f>A222+1</f>
        <v>148</v>
      </c>
      <c r="B224" s="847" t="s">
        <v>556</v>
      </c>
      <c r="C224" s="903"/>
      <c r="D224" s="903"/>
      <c r="E224" s="903"/>
      <c r="F224" s="903"/>
      <c r="G224" s="903"/>
      <c r="H224" s="903"/>
      <c r="I224" s="903"/>
      <c r="J224" s="903"/>
    </row>
    <row r="225" spans="1:10">
      <c r="A225" s="902">
        <f>A224+1</f>
        <v>149</v>
      </c>
      <c r="B225" s="847" t="s">
        <v>556</v>
      </c>
      <c r="C225" s="903"/>
      <c r="D225" s="903"/>
      <c r="E225" s="903"/>
      <c r="F225" s="903"/>
      <c r="G225" s="903"/>
      <c r="H225" s="903"/>
      <c r="I225" s="903"/>
      <c r="J225" s="903"/>
    </row>
    <row r="226" spans="1:10">
      <c r="A226" s="902">
        <f>A225+1</f>
        <v>150</v>
      </c>
      <c r="B226" s="847" t="s">
        <v>556</v>
      </c>
      <c r="C226" s="903"/>
      <c r="D226" s="903"/>
      <c r="E226" s="903"/>
      <c r="F226" s="903"/>
      <c r="G226" s="903"/>
      <c r="H226" s="903"/>
      <c r="I226" s="903"/>
      <c r="J226" s="903"/>
    </row>
    <row r="227" spans="1:10">
      <c r="A227" s="902"/>
      <c r="B227" s="469"/>
      <c r="C227" s="903"/>
      <c r="D227" s="903"/>
      <c r="E227" s="903"/>
      <c r="F227" s="903"/>
      <c r="G227" s="903"/>
      <c r="H227" s="903"/>
      <c r="I227" s="903"/>
      <c r="J227" s="903"/>
    </row>
    <row r="228" spans="1:10" ht="15">
      <c r="A228" s="846" t="s">
        <v>527</v>
      </c>
      <c r="B228" s="902"/>
      <c r="C228" s="902"/>
      <c r="D228" s="902"/>
      <c r="E228" s="902"/>
      <c r="F228" s="902"/>
      <c r="G228" s="902"/>
      <c r="H228" s="902"/>
      <c r="I228" s="902"/>
      <c r="J228" s="902"/>
    </row>
    <row r="229" spans="1:10">
      <c r="A229" s="902">
        <f>A226+1</f>
        <v>151</v>
      </c>
      <c r="B229" s="469"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9"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9" t="s">
        <v>528</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6" t="s">
        <v>529</v>
      </c>
      <c r="B233" s="902"/>
      <c r="C233" s="902"/>
      <c r="D233" s="902"/>
      <c r="E233" s="902"/>
      <c r="F233" s="902"/>
      <c r="G233" s="902"/>
      <c r="H233" s="902"/>
      <c r="I233" s="902"/>
      <c r="J233" s="902"/>
    </row>
    <row r="234" spans="1:10">
      <c r="A234" s="902">
        <f>A231+1</f>
        <v>154</v>
      </c>
      <c r="B234" s="469"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9"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9"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61</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2"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zoomScale="60" zoomScaleNormal="100" workbookViewId="0">
      <selection activeCell="B17" sqref="B17"/>
    </sheetView>
  </sheetViews>
  <sheetFormatPr defaultColWidth="8.85546875" defaultRowHeight="12.75"/>
  <cols>
    <col min="1" max="1" width="8.85546875" style="173"/>
    <col min="2" max="2" width="30.7109375"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67" t="s">
        <v>608</v>
      </c>
      <c r="C1" s="1567"/>
      <c r="D1" s="1567"/>
      <c r="E1" s="1567"/>
      <c r="F1" s="1567"/>
      <c r="G1" s="1567"/>
      <c r="H1" s="1567"/>
      <c r="I1" s="1567"/>
      <c r="J1" s="1567"/>
      <c r="K1" s="1567"/>
      <c r="L1" s="1567"/>
    </row>
    <row r="2" spans="2:12" ht="15.75">
      <c r="B2" s="1566" t="s">
        <v>555</v>
      </c>
      <c r="C2" s="1566"/>
      <c r="D2" s="1566"/>
      <c r="E2" s="1566"/>
      <c r="F2" s="1566"/>
      <c r="G2" s="1566"/>
      <c r="H2" s="1566"/>
      <c r="I2" s="1566"/>
      <c r="J2" s="1566"/>
      <c r="K2" s="1566"/>
      <c r="L2" s="1566"/>
    </row>
    <row r="3" spans="2:12" ht="15.75">
      <c r="B3" s="1566" t="s">
        <v>585</v>
      </c>
      <c r="C3" s="1566"/>
      <c r="D3" s="1566"/>
      <c r="E3" s="1566"/>
      <c r="F3" s="1566"/>
      <c r="G3" s="1566"/>
      <c r="H3" s="1566"/>
      <c r="I3" s="1566"/>
      <c r="J3" s="1566"/>
      <c r="K3" s="1566"/>
      <c r="L3" s="1566"/>
    </row>
    <row r="4" spans="2:12" ht="15.75">
      <c r="B4" s="394"/>
      <c r="C4" s="394"/>
      <c r="D4" s="394"/>
      <c r="E4" s="1566"/>
      <c r="F4" s="1566"/>
      <c r="G4" s="1566"/>
      <c r="H4" s="1566"/>
      <c r="I4" s="394"/>
      <c r="J4" s="394"/>
      <c r="K4" s="394"/>
      <c r="L4" s="394"/>
    </row>
    <row r="5" spans="2:12">
      <c r="B5" s="393"/>
      <c r="C5" s="393"/>
      <c r="D5" s="393"/>
      <c r="E5" s="393"/>
      <c r="F5" s="393"/>
      <c r="G5" s="393"/>
      <c r="H5" s="393"/>
      <c r="I5" s="393"/>
      <c r="J5" s="393"/>
      <c r="K5" s="393"/>
      <c r="L5" s="393"/>
    </row>
    <row r="6" spans="2:12">
      <c r="B6" s="393"/>
      <c r="C6" s="393"/>
      <c r="D6" s="393"/>
      <c r="E6" s="393"/>
      <c r="F6" s="393"/>
      <c r="G6" s="393"/>
      <c r="H6" s="393"/>
      <c r="I6" s="393"/>
      <c r="J6" s="393"/>
      <c r="K6" s="393"/>
      <c r="L6" s="393"/>
    </row>
    <row r="7" spans="2:12" ht="16.5" thickBot="1">
      <c r="B7" s="922"/>
      <c r="C7" s="923"/>
      <c r="D7" s="923"/>
      <c r="E7" s="923"/>
      <c r="F7" s="923"/>
      <c r="G7" s="923"/>
      <c r="H7" s="923"/>
      <c r="I7" s="923"/>
      <c r="J7" s="923"/>
      <c r="K7" s="923"/>
      <c r="L7" s="923"/>
    </row>
    <row r="8" spans="2:12" ht="72.75" customHeight="1">
      <c r="B8" s="1394" t="str">
        <f>"Reconciliation Revenue Requirement For Year 2023 Available May 25, 2023"</f>
        <v>Reconciliation Revenue Requirement For Year 2023 Available May 25, 2023</v>
      </c>
      <c r="C8" s="1395"/>
      <c r="D8" s="1395"/>
      <c r="E8" s="1394" t="s">
        <v>985</v>
      </c>
      <c r="F8" s="923"/>
      <c r="G8" s="923"/>
      <c r="H8" s="394"/>
      <c r="I8" s="924" t="s">
        <v>557</v>
      </c>
      <c r="J8" s="394"/>
      <c r="K8" s="394"/>
      <c r="L8" s="394"/>
    </row>
    <row r="9" spans="2:12" ht="15.75">
      <c r="B9" s="925" t="s">
        <v>406</v>
      </c>
      <c r="C9" s="923"/>
      <c r="D9" s="923"/>
      <c r="E9" s="925"/>
      <c r="F9" s="923"/>
      <c r="G9" s="923"/>
      <c r="H9" s="394"/>
      <c r="I9" s="926"/>
      <c r="J9" s="394"/>
      <c r="K9" s="394"/>
      <c r="L9" s="394"/>
    </row>
    <row r="10" spans="2:12" ht="16.5" thickBot="1">
      <c r="B10" s="921">
        <v>231477089.34976059</v>
      </c>
      <c r="C10" s="927" t="str">
        <f>"-"</f>
        <v>-</v>
      </c>
      <c r="D10" s="928"/>
      <c r="E10" s="921">
        <v>243820805.41217124</v>
      </c>
      <c r="F10" s="929"/>
      <c r="G10" s="930" t="str">
        <f>"="</f>
        <v>=</v>
      </c>
      <c r="H10" s="931"/>
      <c r="I10" s="932">
        <f>IF(B10=0,0,E10-B10)</f>
        <v>12343716.062410653</v>
      </c>
      <c r="J10" s="394"/>
      <c r="K10" s="394"/>
      <c r="L10" s="394"/>
    </row>
    <row r="11" spans="2:12" ht="15.75">
      <c r="B11" s="933"/>
      <c r="C11" s="934"/>
      <c r="D11" s="934"/>
      <c r="E11" s="933"/>
      <c r="F11" s="933"/>
      <c r="G11" s="934"/>
      <c r="H11" s="933"/>
      <c r="I11" s="394"/>
      <c r="J11" s="394"/>
      <c r="K11" s="394"/>
      <c r="L11" s="394"/>
    </row>
    <row r="12" spans="2:12" ht="16.5" thickBot="1">
      <c r="B12" s="935"/>
      <c r="C12" s="936"/>
      <c r="D12" s="936"/>
      <c r="E12" s="935"/>
      <c r="F12" s="935"/>
      <c r="G12" s="936"/>
      <c r="H12" s="935"/>
      <c r="I12" s="937"/>
      <c r="J12" s="937"/>
      <c r="K12" s="937"/>
      <c r="L12" s="937"/>
    </row>
    <row r="13" spans="2:12" ht="15.75">
      <c r="B13" s="938"/>
      <c r="C13" s="934"/>
      <c r="D13" s="934"/>
      <c r="E13" s="933"/>
      <c r="F13" s="933"/>
      <c r="G13" s="934"/>
      <c r="H13" s="933"/>
      <c r="I13" s="394"/>
      <c r="J13" s="394"/>
      <c r="K13" s="394"/>
      <c r="L13" s="394"/>
    </row>
    <row r="14" spans="2:12" ht="47.25">
      <c r="B14" s="939" t="s">
        <v>620</v>
      </c>
      <c r="C14" s="934"/>
      <c r="D14" s="934"/>
      <c r="E14" s="940" t="s">
        <v>558</v>
      </c>
      <c r="F14" s="933"/>
      <c r="G14" s="940" t="s">
        <v>559</v>
      </c>
      <c r="H14" s="941" t="s">
        <v>560</v>
      </c>
      <c r="I14" s="942" t="s">
        <v>561</v>
      </c>
      <c r="J14" s="940" t="s">
        <v>562</v>
      </c>
      <c r="K14" s="943"/>
      <c r="L14" s="940" t="s">
        <v>563</v>
      </c>
    </row>
    <row r="15" spans="2:12" ht="15.75">
      <c r="B15" s="939" t="s">
        <v>621</v>
      </c>
      <c r="C15" s="934"/>
      <c r="D15" s="934"/>
      <c r="E15" s="394"/>
      <c r="F15" s="944"/>
      <c r="G15" s="957">
        <v>6.4749999999999981E-3</v>
      </c>
      <c r="I15" s="394"/>
      <c r="J15" s="394"/>
      <c r="K15" s="394"/>
      <c r="L15" s="394"/>
    </row>
    <row r="16" spans="2:12" ht="15.75">
      <c r="B16" s="939"/>
      <c r="C16" s="934"/>
      <c r="D16" s="934"/>
      <c r="E16" s="394"/>
      <c r="F16" s="944"/>
      <c r="G16" s="944"/>
      <c r="H16" s="933"/>
      <c r="I16" s="394"/>
      <c r="J16" s="394"/>
      <c r="K16" s="394"/>
      <c r="L16" s="394"/>
    </row>
    <row r="17" spans="2:12" ht="15.75">
      <c r="B17" s="1396" t="s">
        <v>992</v>
      </c>
      <c r="C17" s="934"/>
      <c r="D17" s="934"/>
      <c r="E17" s="394"/>
      <c r="F17" s="944"/>
      <c r="G17" s="944"/>
      <c r="H17" s="933"/>
      <c r="I17" s="394"/>
      <c r="J17" s="394"/>
      <c r="K17" s="394"/>
      <c r="L17" s="394"/>
    </row>
    <row r="18" spans="2:12" ht="15.75">
      <c r="B18" s="945" t="s">
        <v>406</v>
      </c>
      <c r="C18" s="934"/>
      <c r="D18" s="934"/>
      <c r="E18" s="934"/>
      <c r="F18" s="934"/>
      <c r="G18" s="1443" t="s">
        <v>406</v>
      </c>
      <c r="H18" s="394"/>
      <c r="I18" s="394"/>
      <c r="J18" s="394"/>
      <c r="K18" s="394"/>
      <c r="L18" s="394"/>
    </row>
    <row r="19" spans="2:12" ht="15.75">
      <c r="B19" s="946"/>
      <c r="C19" s="934"/>
      <c r="D19" s="934"/>
      <c r="E19" s="934"/>
      <c r="F19" s="934"/>
      <c r="G19" s="1444"/>
      <c r="H19" s="394"/>
      <c r="I19" s="941"/>
      <c r="J19" s="934"/>
      <c r="K19" s="934"/>
      <c r="L19" s="934"/>
    </row>
    <row r="20" spans="2:12" ht="15.75">
      <c r="B20" s="946" t="s">
        <v>564</v>
      </c>
      <c r="C20" s="934"/>
      <c r="D20" s="934"/>
      <c r="E20" s="934"/>
      <c r="F20" s="934"/>
      <c r="G20" s="1444"/>
      <c r="H20" s="394"/>
      <c r="I20" s="941" t="s">
        <v>565</v>
      </c>
      <c r="J20" s="934"/>
      <c r="K20" s="934"/>
      <c r="L20" s="934"/>
    </row>
    <row r="21" spans="2:12" ht="15.75">
      <c r="B21" s="923" t="s">
        <v>566</v>
      </c>
      <c r="C21" s="923" t="str">
        <f>"Year "&amp;TCOS!L4-2</f>
        <v>Year 2023</v>
      </c>
      <c r="D21" s="923"/>
      <c r="E21" s="947">
        <f>I10/12</f>
        <v>1028643.0052008877</v>
      </c>
      <c r="F21" s="947"/>
      <c r="G21" s="1445">
        <v>2.7700000000000003E-3</v>
      </c>
      <c r="H21" s="1316">
        <v>12</v>
      </c>
      <c r="I21" s="947">
        <f>G21*E21*H21*-1</f>
        <v>-34192.09349287751</v>
      </c>
      <c r="J21" s="947"/>
      <c r="K21" s="947"/>
      <c r="L21" s="947">
        <f>(-I21+E21)*-1</f>
        <v>-1062835.0986937652</v>
      </c>
    </row>
    <row r="22" spans="2:12" ht="15.75">
      <c r="B22" s="923" t="s">
        <v>567</v>
      </c>
      <c r="C22" s="923" t="str">
        <f>C21</f>
        <v>Year 2023</v>
      </c>
      <c r="D22" s="923"/>
      <c r="E22" s="947">
        <f>+E21</f>
        <v>1028643.0052008877</v>
      </c>
      <c r="F22" s="947"/>
      <c r="G22" s="1445">
        <f>+G21</f>
        <v>2.7700000000000003E-3</v>
      </c>
      <c r="H22" s="1316">
        <f t="shared" ref="H22:H32" si="0">+H21-1</f>
        <v>11</v>
      </c>
      <c r="I22" s="947">
        <f t="shared" ref="I22:I32" si="1">G22*E22*H22*-1</f>
        <v>-31342.75236847105</v>
      </c>
      <c r="J22" s="947"/>
      <c r="K22" s="947"/>
      <c r="L22" s="947">
        <f t="shared" ref="L22:L32" si="2">(-I22+E22)*-1</f>
        <v>-1059985.7575693587</v>
      </c>
    </row>
    <row r="23" spans="2:12" ht="15.75">
      <c r="B23" s="923" t="s">
        <v>568</v>
      </c>
      <c r="C23" s="923" t="str">
        <f>C21</f>
        <v>Year 2023</v>
      </c>
      <c r="D23" s="923"/>
      <c r="E23" s="947">
        <f t="shared" ref="E23:E32" si="3">+E22</f>
        <v>1028643.0052008877</v>
      </c>
      <c r="F23" s="947"/>
      <c r="G23" s="1445">
        <f t="shared" ref="G23:G32" si="4">+G22</f>
        <v>2.7700000000000003E-3</v>
      </c>
      <c r="H23" s="1316">
        <f t="shared" si="0"/>
        <v>10</v>
      </c>
      <c r="I23" s="947">
        <f t="shared" si="1"/>
        <v>-28493.411244064591</v>
      </c>
      <c r="J23" s="947"/>
      <c r="K23" s="947"/>
      <c r="L23" s="947">
        <f t="shared" si="2"/>
        <v>-1057136.4164449524</v>
      </c>
    </row>
    <row r="24" spans="2:12" ht="15.75">
      <c r="B24" s="923" t="s">
        <v>569</v>
      </c>
      <c r="C24" s="923" t="str">
        <f>C21</f>
        <v>Year 2023</v>
      </c>
      <c r="D24" s="923"/>
      <c r="E24" s="947">
        <f t="shared" si="3"/>
        <v>1028643.0052008877</v>
      </c>
      <c r="F24" s="947"/>
      <c r="G24" s="1445">
        <f t="shared" si="4"/>
        <v>2.7700000000000003E-3</v>
      </c>
      <c r="H24" s="1316">
        <f t="shared" si="0"/>
        <v>9</v>
      </c>
      <c r="I24" s="947">
        <f t="shared" si="1"/>
        <v>-25644.070119658132</v>
      </c>
      <c r="J24" s="947"/>
      <c r="K24" s="947"/>
      <c r="L24" s="947">
        <f t="shared" si="2"/>
        <v>-1054287.0753205458</v>
      </c>
    </row>
    <row r="25" spans="2:12" ht="15.75">
      <c r="B25" s="923" t="s">
        <v>570</v>
      </c>
      <c r="C25" s="923" t="str">
        <f>C21</f>
        <v>Year 2023</v>
      </c>
      <c r="D25" s="923"/>
      <c r="E25" s="947">
        <f t="shared" si="3"/>
        <v>1028643.0052008877</v>
      </c>
      <c r="F25" s="947"/>
      <c r="G25" s="1445">
        <f t="shared" si="4"/>
        <v>2.7700000000000003E-3</v>
      </c>
      <c r="H25" s="1316">
        <f t="shared" si="0"/>
        <v>8</v>
      </c>
      <c r="I25" s="947">
        <f t="shared" si="1"/>
        <v>-22794.728995251673</v>
      </c>
      <c r="J25" s="947"/>
      <c r="K25" s="947"/>
      <c r="L25" s="947">
        <f t="shared" si="2"/>
        <v>-1051437.7341961393</v>
      </c>
    </row>
    <row r="26" spans="2:12" ht="15.75">
      <c r="B26" s="923" t="s">
        <v>571</v>
      </c>
      <c r="C26" s="923" t="str">
        <f>C21</f>
        <v>Year 2023</v>
      </c>
      <c r="D26" s="923"/>
      <c r="E26" s="947">
        <f t="shared" si="3"/>
        <v>1028643.0052008877</v>
      </c>
      <c r="F26" s="947"/>
      <c r="G26" s="1445">
        <f t="shared" si="4"/>
        <v>2.7700000000000003E-3</v>
      </c>
      <c r="H26" s="1316">
        <f t="shared" si="0"/>
        <v>7</v>
      </c>
      <c r="I26" s="947">
        <f t="shared" si="1"/>
        <v>-19945.387870845214</v>
      </c>
      <c r="J26" s="947"/>
      <c r="K26" s="947"/>
      <c r="L26" s="947">
        <f t="shared" si="2"/>
        <v>-1048588.3930717329</v>
      </c>
    </row>
    <row r="27" spans="2:12" ht="15.75">
      <c r="B27" s="923" t="s">
        <v>572</v>
      </c>
      <c r="C27" s="923" t="str">
        <f>C21</f>
        <v>Year 2023</v>
      </c>
      <c r="D27" s="923"/>
      <c r="E27" s="947">
        <f t="shared" si="3"/>
        <v>1028643.0052008877</v>
      </c>
      <c r="F27" s="947"/>
      <c r="G27" s="1445">
        <f t="shared" si="4"/>
        <v>2.7700000000000003E-3</v>
      </c>
      <c r="H27" s="1316">
        <f t="shared" si="0"/>
        <v>6</v>
      </c>
      <c r="I27" s="947">
        <f t="shared" si="1"/>
        <v>-17096.046746438755</v>
      </c>
      <c r="J27" s="947"/>
      <c r="K27" s="947"/>
      <c r="L27" s="947">
        <f t="shared" si="2"/>
        <v>-1045739.0519473264</v>
      </c>
    </row>
    <row r="28" spans="2:12" ht="15.75">
      <c r="B28" s="923" t="s">
        <v>573</v>
      </c>
      <c r="C28" s="923" t="str">
        <f>C21</f>
        <v>Year 2023</v>
      </c>
      <c r="D28" s="923"/>
      <c r="E28" s="947">
        <f t="shared" si="3"/>
        <v>1028643.0052008877</v>
      </c>
      <c r="F28" s="947"/>
      <c r="G28" s="1445">
        <f t="shared" si="4"/>
        <v>2.7700000000000003E-3</v>
      </c>
      <c r="H28" s="1316">
        <f t="shared" si="0"/>
        <v>5</v>
      </c>
      <c r="I28" s="947">
        <f t="shared" si="1"/>
        <v>-14246.705622032296</v>
      </c>
      <c r="J28" s="947"/>
      <c r="K28" s="947"/>
      <c r="L28" s="947">
        <f t="shared" si="2"/>
        <v>-1042889.71082292</v>
      </c>
    </row>
    <row r="29" spans="2:12" ht="15.75">
      <c r="B29" s="923" t="s">
        <v>574</v>
      </c>
      <c r="C29" s="923" t="str">
        <f>C21</f>
        <v>Year 2023</v>
      </c>
      <c r="D29" s="923"/>
      <c r="E29" s="947">
        <f t="shared" si="3"/>
        <v>1028643.0052008877</v>
      </c>
      <c r="F29" s="947"/>
      <c r="G29" s="1445">
        <f t="shared" si="4"/>
        <v>2.7700000000000003E-3</v>
      </c>
      <c r="H29" s="1316">
        <f t="shared" si="0"/>
        <v>4</v>
      </c>
      <c r="I29" s="947">
        <f t="shared" si="1"/>
        <v>-11397.364497625837</v>
      </c>
      <c r="J29" s="947"/>
      <c r="K29" s="947"/>
      <c r="L29" s="947">
        <f t="shared" si="2"/>
        <v>-1040040.3696985135</v>
      </c>
    </row>
    <row r="30" spans="2:12" ht="15.75">
      <c r="B30" s="923" t="s">
        <v>575</v>
      </c>
      <c r="C30" s="923" t="str">
        <f>C21</f>
        <v>Year 2023</v>
      </c>
      <c r="D30" s="923"/>
      <c r="E30" s="947">
        <f t="shared" si="3"/>
        <v>1028643.0052008877</v>
      </c>
      <c r="F30" s="947"/>
      <c r="G30" s="1445">
        <f t="shared" si="4"/>
        <v>2.7700000000000003E-3</v>
      </c>
      <c r="H30" s="1316">
        <f t="shared" si="0"/>
        <v>3</v>
      </c>
      <c r="I30" s="947">
        <f t="shared" si="1"/>
        <v>-8548.0233732193774</v>
      </c>
      <c r="J30" s="947"/>
      <c r="K30" s="947"/>
      <c r="L30" s="947">
        <f t="shared" si="2"/>
        <v>-1037191.0285741071</v>
      </c>
    </row>
    <row r="31" spans="2:12" ht="15.75">
      <c r="B31" s="923" t="s">
        <v>576</v>
      </c>
      <c r="C31" s="923" t="str">
        <f>C21</f>
        <v>Year 2023</v>
      </c>
      <c r="D31" s="923"/>
      <c r="E31" s="947">
        <f t="shared" si="3"/>
        <v>1028643.0052008877</v>
      </c>
      <c r="F31" s="947"/>
      <c r="G31" s="1445">
        <f t="shared" si="4"/>
        <v>2.7700000000000003E-3</v>
      </c>
      <c r="H31" s="1316">
        <f t="shared" si="0"/>
        <v>2</v>
      </c>
      <c r="I31" s="947">
        <f t="shared" si="1"/>
        <v>-5698.6822488129183</v>
      </c>
      <c r="J31" s="947"/>
      <c r="K31" s="947"/>
      <c r="L31" s="947">
        <f t="shared" si="2"/>
        <v>-1034341.6874497005</v>
      </c>
    </row>
    <row r="32" spans="2:12" ht="15.75">
      <c r="B32" s="923" t="s">
        <v>577</v>
      </c>
      <c r="C32" s="923" t="str">
        <f>C21</f>
        <v>Year 2023</v>
      </c>
      <c r="D32" s="923"/>
      <c r="E32" s="947">
        <f t="shared" si="3"/>
        <v>1028643.0052008877</v>
      </c>
      <c r="F32" s="947"/>
      <c r="G32" s="1445">
        <f t="shared" si="4"/>
        <v>2.7700000000000003E-3</v>
      </c>
      <c r="H32" s="1316">
        <f t="shared" si="0"/>
        <v>1</v>
      </c>
      <c r="I32" s="949">
        <f t="shared" si="1"/>
        <v>-2849.3411244064591</v>
      </c>
      <c r="J32" s="947"/>
      <c r="K32" s="947"/>
      <c r="L32" s="947">
        <f t="shared" si="2"/>
        <v>-1031492.3463252941</v>
      </c>
    </row>
    <row r="33" spans="2:12" ht="15.75">
      <c r="B33" s="923"/>
      <c r="C33" s="923"/>
      <c r="D33" s="923"/>
      <c r="E33" s="947"/>
      <c r="F33" s="947"/>
      <c r="G33" s="1445"/>
      <c r="H33" s="934"/>
      <c r="I33" s="947">
        <f>SUM(I21:I32)</f>
        <v>-222248.6077037038</v>
      </c>
      <c r="J33" s="947"/>
      <c r="K33" s="947"/>
      <c r="L33" s="950">
        <f>SUM(L21:L32)</f>
        <v>-12565964.670114357</v>
      </c>
    </row>
    <row r="34" spans="2:12" ht="15.75">
      <c r="B34" s="923"/>
      <c r="C34" s="923"/>
      <c r="D34" s="923"/>
      <c r="E34" s="947"/>
      <c r="F34" s="947"/>
      <c r="G34" s="1445"/>
      <c r="H34" s="934"/>
      <c r="I34" s="947"/>
      <c r="J34" s="947" t="s">
        <v>406</v>
      </c>
      <c r="K34" s="947"/>
      <c r="L34" s="394"/>
    </row>
    <row r="35" spans="2:12" ht="15.75">
      <c r="B35" s="923"/>
      <c r="C35" s="923"/>
      <c r="D35" s="923"/>
      <c r="E35" s="933"/>
      <c r="F35" s="933"/>
      <c r="G35" s="1445"/>
      <c r="H35" s="934"/>
      <c r="I35" s="951" t="s">
        <v>578</v>
      </c>
      <c r="J35" s="947"/>
      <c r="K35" s="947"/>
      <c r="L35" s="947"/>
    </row>
    <row r="36" spans="2:12" ht="15.75">
      <c r="B36" s="923" t="s">
        <v>579</v>
      </c>
      <c r="C36" s="923" t="str">
        <f>"Year "&amp;TCOS!L4-1</f>
        <v>Year 2024</v>
      </c>
      <c r="D36" s="923"/>
      <c r="E36" s="933">
        <f>L33</f>
        <v>-12565964.670114357</v>
      </c>
      <c r="F36" s="933"/>
      <c r="G36" s="1445">
        <v>4.239999999999999E-3</v>
      </c>
      <c r="H36" s="1316">
        <v>12</v>
      </c>
      <c r="I36" s="947">
        <f>+H36*G36*E36</f>
        <v>-639356.2824154183</v>
      </c>
      <c r="J36" s="947"/>
      <c r="K36" s="947"/>
      <c r="L36" s="950">
        <f>+E36+I36</f>
        <v>-13205320.952529775</v>
      </c>
    </row>
    <row r="37" spans="2:12" ht="15.75">
      <c r="B37" s="923"/>
      <c r="C37" s="923"/>
      <c r="D37" s="923"/>
      <c r="E37" s="933"/>
      <c r="F37" s="933"/>
      <c r="G37" s="1445"/>
      <c r="H37" s="934"/>
      <c r="I37" s="947"/>
      <c r="J37" s="947"/>
      <c r="K37" s="947"/>
      <c r="L37" s="947"/>
    </row>
    <row r="38" spans="2:12" ht="15.75">
      <c r="B38" s="952" t="s">
        <v>580</v>
      </c>
      <c r="C38" s="923"/>
      <c r="D38" s="923"/>
      <c r="E38" s="947"/>
      <c r="F38" s="947"/>
      <c r="G38" s="1445"/>
      <c r="H38" s="934"/>
      <c r="I38" s="951" t="s">
        <v>565</v>
      </c>
      <c r="J38" s="947"/>
      <c r="K38" s="947"/>
      <c r="L38" s="947"/>
    </row>
    <row r="39" spans="2:12" ht="15.75">
      <c r="B39" s="923" t="s">
        <v>566</v>
      </c>
      <c r="C39" s="923" t="str">
        <f>"Year "&amp;TCOS!L4</f>
        <v>Year 2025</v>
      </c>
      <c r="D39" s="923"/>
      <c r="E39" s="953">
        <f>-L36</f>
        <v>13205320.952529775</v>
      </c>
      <c r="F39" s="933"/>
      <c r="G39" s="1445">
        <f>G15</f>
        <v>6.4749999999999981E-3</v>
      </c>
      <c r="H39" s="934"/>
      <c r="I39" s="947">
        <f xml:space="preserve"> -G39*E39</f>
        <v>-85504.453167630272</v>
      </c>
      <c r="J39" s="947">
        <f>PMT(G39,12,L$36)</f>
        <v>1147306.2939652775</v>
      </c>
      <c r="K39" s="947"/>
      <c r="L39" s="947">
        <f>(+E39+E39*G39-J39)*-1</f>
        <v>-12143519.111732127</v>
      </c>
    </row>
    <row r="40" spans="2:12" ht="15.75">
      <c r="B40" s="923" t="s">
        <v>567</v>
      </c>
      <c r="C40" s="923" t="str">
        <f>+C39</f>
        <v>Year 2025</v>
      </c>
      <c r="D40" s="923"/>
      <c r="E40" s="933">
        <f>-L39</f>
        <v>12143519.111732127</v>
      </c>
      <c r="F40" s="933"/>
      <c r="G40" s="1445">
        <f>+G39</f>
        <v>6.4749999999999981E-3</v>
      </c>
      <c r="H40" s="934"/>
      <c r="I40" s="947">
        <f xml:space="preserve"> -G40*E40</f>
        <v>-78629.286248465505</v>
      </c>
      <c r="J40" s="947">
        <f>J39</f>
        <v>1147306.2939652775</v>
      </c>
      <c r="K40" s="947"/>
      <c r="L40" s="947">
        <f t="shared" ref="L40:L50" si="5">(+E40+E40*G40-J40)*-1</f>
        <v>-11074842.104015315</v>
      </c>
    </row>
    <row r="41" spans="2:12" ht="15.75">
      <c r="B41" s="923" t="s">
        <v>568</v>
      </c>
      <c r="C41" s="923" t="str">
        <f>+C40</f>
        <v>Year 2025</v>
      </c>
      <c r="D41" s="923"/>
      <c r="E41" s="933">
        <f t="shared" ref="E41:E50" si="6">-L40</f>
        <v>11074842.104015315</v>
      </c>
      <c r="F41" s="933"/>
      <c r="G41" s="1445">
        <f t="shared" ref="G41:G50" si="7">+G40</f>
        <v>6.4749999999999981E-3</v>
      </c>
      <c r="H41" s="934"/>
      <c r="I41" s="947">
        <f t="shared" ref="I41:I50" si="8" xml:space="preserve"> -G41*E41</f>
        <v>-71709.602623499144</v>
      </c>
      <c r="J41" s="947">
        <f t="shared" ref="J41:J50" si="9">J40</f>
        <v>1147306.2939652775</v>
      </c>
      <c r="K41" s="947"/>
      <c r="L41" s="947">
        <f t="shared" si="5"/>
        <v>-9999245.4126735367</v>
      </c>
    </row>
    <row r="42" spans="2:12" ht="15.75">
      <c r="B42" s="923" t="s">
        <v>569</v>
      </c>
      <c r="C42" s="923" t="str">
        <f>+C41</f>
        <v>Year 2025</v>
      </c>
      <c r="D42" s="923"/>
      <c r="E42" s="933">
        <f t="shared" si="6"/>
        <v>9999245.4126735367</v>
      </c>
      <c r="F42" s="933"/>
      <c r="G42" s="1445">
        <f t="shared" si="7"/>
        <v>6.4749999999999981E-3</v>
      </c>
      <c r="H42" s="934"/>
      <c r="I42" s="947">
        <f t="shared" si="8"/>
        <v>-64745.114047061128</v>
      </c>
      <c r="J42" s="947">
        <f t="shared" si="9"/>
        <v>1147306.2939652775</v>
      </c>
      <c r="K42" s="947"/>
      <c r="L42" s="947">
        <f t="shared" si="5"/>
        <v>-8916684.2327553201</v>
      </c>
    </row>
    <row r="43" spans="2:12" ht="15.75">
      <c r="B43" s="923" t="s">
        <v>570</v>
      </c>
      <c r="C43" s="923" t="str">
        <f>+C42</f>
        <v>Year 2025</v>
      </c>
      <c r="D43" s="923"/>
      <c r="E43" s="933">
        <f t="shared" si="6"/>
        <v>8916684.2327553201</v>
      </c>
      <c r="F43" s="933"/>
      <c r="G43" s="1445">
        <f t="shared" si="7"/>
        <v>6.4749999999999981E-3</v>
      </c>
      <c r="H43" s="934"/>
      <c r="I43" s="947">
        <f t="shared" si="8"/>
        <v>-57735.530407090679</v>
      </c>
      <c r="J43" s="947">
        <f>J42</f>
        <v>1147306.2939652775</v>
      </c>
      <c r="K43" s="947"/>
      <c r="L43" s="947">
        <f t="shared" si="5"/>
        <v>-7827113.4691971345</v>
      </c>
    </row>
    <row r="44" spans="2:12" ht="15.75">
      <c r="B44" s="923" t="s">
        <v>571</v>
      </c>
      <c r="C44" s="923" t="str">
        <f>C43</f>
        <v>Year 2025</v>
      </c>
      <c r="D44" s="394"/>
      <c r="E44" s="933">
        <f t="shared" si="6"/>
        <v>7827113.4691971345</v>
      </c>
      <c r="F44" s="933"/>
      <c r="G44" s="1445">
        <f t="shared" si="7"/>
        <v>6.4749999999999981E-3</v>
      </c>
      <c r="H44" s="934"/>
      <c r="I44" s="947">
        <f t="shared" si="8"/>
        <v>-50680.559713051429</v>
      </c>
      <c r="J44" s="947">
        <f t="shared" si="9"/>
        <v>1147306.2939652775</v>
      </c>
      <c r="K44" s="947"/>
      <c r="L44" s="947">
        <f t="shared" si="5"/>
        <v>-6730487.7349449089</v>
      </c>
    </row>
    <row r="45" spans="2:12" ht="15.75">
      <c r="B45" s="923" t="s">
        <v>572</v>
      </c>
      <c r="C45" s="923" t="str">
        <f t="shared" ref="C45:C50" si="10">+C44</f>
        <v>Year 2025</v>
      </c>
      <c r="D45" s="923"/>
      <c r="E45" s="933">
        <f t="shared" si="6"/>
        <v>6730487.7349449089</v>
      </c>
      <c r="F45" s="933"/>
      <c r="G45" s="1445">
        <f t="shared" si="7"/>
        <v>6.4749999999999981E-3</v>
      </c>
      <c r="H45" s="934"/>
      <c r="I45" s="947">
        <f t="shared" si="8"/>
        <v>-43579.90808376827</v>
      </c>
      <c r="J45" s="947">
        <f t="shared" si="9"/>
        <v>1147306.2939652775</v>
      </c>
      <c r="K45" s="947"/>
      <c r="L45" s="947">
        <f t="shared" si="5"/>
        <v>-5626761.3490634002</v>
      </c>
    </row>
    <row r="46" spans="2:12" ht="15.75">
      <c r="B46" s="923" t="s">
        <v>573</v>
      </c>
      <c r="C46" s="923" t="str">
        <f t="shared" si="10"/>
        <v>Year 2025</v>
      </c>
      <c r="D46" s="923"/>
      <c r="E46" s="933">
        <f t="shared" si="6"/>
        <v>5626761.3490634002</v>
      </c>
      <c r="F46" s="933"/>
      <c r="G46" s="1445">
        <f t="shared" si="7"/>
        <v>6.4749999999999981E-3</v>
      </c>
      <c r="H46" s="934"/>
      <c r="I46" s="947">
        <f t="shared" si="8"/>
        <v>-36433.279735185504</v>
      </c>
      <c r="J46" s="947">
        <f t="shared" si="9"/>
        <v>1147306.2939652775</v>
      </c>
      <c r="K46" s="947"/>
      <c r="L46" s="947">
        <f t="shared" si="5"/>
        <v>-4515888.3348333081</v>
      </c>
    </row>
    <row r="47" spans="2:12" ht="15.75">
      <c r="B47" s="923" t="s">
        <v>574</v>
      </c>
      <c r="C47" s="923" t="str">
        <f t="shared" si="10"/>
        <v>Year 2025</v>
      </c>
      <c r="D47" s="923"/>
      <c r="E47" s="933">
        <f t="shared" si="6"/>
        <v>4515888.3348333081</v>
      </c>
      <c r="F47" s="933"/>
      <c r="G47" s="1445">
        <f t="shared" si="7"/>
        <v>6.4749999999999981E-3</v>
      </c>
      <c r="H47" s="934"/>
      <c r="I47" s="947">
        <f t="shared" si="8"/>
        <v>-29240.376968045661</v>
      </c>
      <c r="J47" s="947">
        <f>J46</f>
        <v>1147306.2939652775</v>
      </c>
      <c r="K47" s="947"/>
      <c r="L47" s="947">
        <f t="shared" si="5"/>
        <v>-3397822.4178360766</v>
      </c>
    </row>
    <row r="48" spans="2:12" ht="15.75">
      <c r="B48" s="923" t="s">
        <v>575</v>
      </c>
      <c r="C48" s="923" t="str">
        <f t="shared" si="10"/>
        <v>Year 2025</v>
      </c>
      <c r="D48" s="923"/>
      <c r="E48" s="933">
        <f t="shared" si="6"/>
        <v>3397822.4178360766</v>
      </c>
      <c r="F48" s="933"/>
      <c r="G48" s="1445">
        <f t="shared" si="7"/>
        <v>6.4749999999999981E-3</v>
      </c>
      <c r="H48" s="934"/>
      <c r="I48" s="947">
        <f t="shared" si="8"/>
        <v>-22000.900155488591</v>
      </c>
      <c r="J48" s="947">
        <f t="shared" si="9"/>
        <v>1147306.2939652775</v>
      </c>
      <c r="K48" s="947"/>
      <c r="L48" s="947">
        <f t="shared" si="5"/>
        <v>-2272517.0240262877</v>
      </c>
    </row>
    <row r="49" spans="2:12" ht="15.75">
      <c r="B49" s="923" t="s">
        <v>576</v>
      </c>
      <c r="C49" s="923" t="str">
        <f t="shared" si="10"/>
        <v>Year 2025</v>
      </c>
      <c r="D49" s="923"/>
      <c r="E49" s="933">
        <f t="shared" si="6"/>
        <v>2272517.0240262877</v>
      </c>
      <c r="F49" s="933"/>
      <c r="G49" s="1445">
        <f t="shared" si="7"/>
        <v>6.4749999999999981E-3</v>
      </c>
      <c r="H49" s="923"/>
      <c r="I49" s="947">
        <f t="shared" si="8"/>
        <v>-14714.547730570208</v>
      </c>
      <c r="J49" s="947">
        <f t="shared" si="9"/>
        <v>1147306.2939652775</v>
      </c>
      <c r="K49" s="947"/>
      <c r="L49" s="947">
        <f t="shared" si="5"/>
        <v>-1139925.2777915804</v>
      </c>
    </row>
    <row r="50" spans="2:12" ht="15.75">
      <c r="B50" s="923" t="s">
        <v>577</v>
      </c>
      <c r="C50" s="923" t="str">
        <f t="shared" si="10"/>
        <v>Year 2025</v>
      </c>
      <c r="D50" s="923"/>
      <c r="E50" s="933">
        <f t="shared" si="6"/>
        <v>1139925.2777915804</v>
      </c>
      <c r="F50" s="933"/>
      <c r="G50" s="1445">
        <f t="shared" si="7"/>
        <v>6.4749999999999981E-3</v>
      </c>
      <c r="H50" s="923"/>
      <c r="I50" s="949">
        <f t="shared" si="8"/>
        <v>-7381.016173700481</v>
      </c>
      <c r="J50" s="947">
        <f t="shared" si="9"/>
        <v>1147306.2939652775</v>
      </c>
      <c r="K50" s="947"/>
      <c r="L50" s="947">
        <f t="shared" si="5"/>
        <v>-3.4924596548080444E-9</v>
      </c>
    </row>
    <row r="51" spans="2:12" ht="15.75">
      <c r="B51" s="923"/>
      <c r="C51" s="923"/>
      <c r="D51" s="923"/>
      <c r="E51" s="933"/>
      <c r="F51" s="933"/>
      <c r="G51" s="948"/>
      <c r="H51" s="923"/>
      <c r="I51" s="947">
        <f>SUM(I39:I50)</f>
        <v>-562354.57505355682</v>
      </c>
      <c r="J51" s="947"/>
      <c r="K51" s="947"/>
      <c r="L51" s="947"/>
    </row>
    <row r="52" spans="2:12" ht="15">
      <c r="B52" s="394"/>
      <c r="C52" s="394"/>
      <c r="D52" s="394"/>
      <c r="E52" s="394"/>
      <c r="F52" s="394"/>
      <c r="G52" s="394"/>
      <c r="H52" s="394"/>
      <c r="I52" s="394"/>
      <c r="J52" s="954"/>
      <c r="K52" s="394"/>
      <c r="L52" s="394"/>
    </row>
    <row r="53" spans="2:12" ht="15.75">
      <c r="B53" s="923" t="s">
        <v>581</v>
      </c>
      <c r="C53" s="394"/>
      <c r="D53" s="394"/>
      <c r="E53" s="394"/>
      <c r="F53" s="394"/>
      <c r="G53" s="394"/>
      <c r="H53" s="394"/>
      <c r="I53" s="394"/>
      <c r="J53" s="955">
        <f>(SUM(J39:J50)*-1)</f>
        <v>-13767675.527583333</v>
      </c>
      <c r="K53" s="394"/>
      <c r="L53" s="394"/>
    </row>
    <row r="54" spans="2:12" ht="15.75">
      <c r="B54" s="923" t="s">
        <v>582</v>
      </c>
      <c r="C54" s="394"/>
      <c r="D54" s="394"/>
      <c r="E54" s="394"/>
      <c r="F54" s="394"/>
      <c r="G54" s="394"/>
      <c r="H54" s="394"/>
      <c r="I54" s="394"/>
      <c r="J54" s="956">
        <f>+I10</f>
        <v>12343716.062410653</v>
      </c>
      <c r="K54" s="394"/>
      <c r="L54" s="394"/>
    </row>
    <row r="55" spans="2:12" ht="15.75">
      <c r="B55" s="923" t="s">
        <v>583</v>
      </c>
      <c r="C55" s="394"/>
      <c r="D55" s="394"/>
      <c r="E55" s="394"/>
      <c r="F55" s="394"/>
      <c r="G55" s="394"/>
      <c r="H55" s="394"/>
      <c r="I55" s="394"/>
      <c r="J55" s="955">
        <f>(J53+J54)</f>
        <v>-1423959.4651726801</v>
      </c>
      <c r="K55" s="394"/>
      <c r="L55" s="394"/>
    </row>
    <row r="56" spans="2:12">
      <c r="B56" s="393"/>
      <c r="C56" s="393"/>
      <c r="D56" s="393"/>
      <c r="E56" s="393"/>
      <c r="F56" s="393"/>
      <c r="G56" s="393"/>
      <c r="H56" s="393"/>
      <c r="I56" s="393"/>
      <c r="J56" s="393"/>
      <c r="K56" s="393"/>
      <c r="L56" s="393"/>
    </row>
    <row r="57" spans="2:12" ht="66.599999999999994" customHeight="1">
      <c r="B57" s="1568" t="s">
        <v>584</v>
      </c>
      <c r="C57" s="1568"/>
      <c r="D57" s="1568"/>
      <c r="E57" s="1568"/>
      <c r="F57" s="1568"/>
      <c r="G57" s="1568"/>
      <c r="H57" s="1568"/>
      <c r="I57" s="1568"/>
      <c r="J57" s="1568"/>
      <c r="K57" s="1568"/>
      <c r="L57" s="1568"/>
    </row>
  </sheetData>
  <mergeCells count="5">
    <mergeCell ref="B3:L3"/>
    <mergeCell ref="B1:L1"/>
    <mergeCell ref="B2:L2"/>
    <mergeCell ref="E4:H4"/>
    <mergeCell ref="B57:L57"/>
  </mergeCells>
  <pageMargins left="0.7" right="0.7" top="0.75" bottom="0.75" header="0.3" footer="0.3"/>
  <pageSetup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7"/>
  <sheetViews>
    <sheetView view="pageBreakPreview" zoomScale="60" zoomScaleNormal="100" workbookViewId="0">
      <selection activeCell="G15" sqref="G15:G50"/>
    </sheetView>
  </sheetViews>
  <sheetFormatPr defaultRowHeight="12.75"/>
  <cols>
    <col min="2" max="2" width="25.5703125" customWidth="1"/>
    <col min="5" max="5" width="21.7109375" customWidth="1"/>
    <col min="7" max="7" width="18" customWidth="1"/>
    <col min="9" max="9" width="21.28515625" customWidth="1"/>
    <col min="10" max="10" width="19.42578125" customWidth="1"/>
    <col min="12" max="12" width="18.85546875" customWidth="1"/>
  </cols>
  <sheetData>
    <row r="1" spans="1:12" ht="15.75">
      <c r="A1" s="173"/>
      <c r="B1" s="1567" t="s">
        <v>608</v>
      </c>
      <c r="C1" s="1567"/>
      <c r="D1" s="1567"/>
      <c r="E1" s="1567"/>
      <c r="F1" s="1567"/>
      <c r="G1" s="1567"/>
      <c r="H1" s="1567"/>
      <c r="I1" s="1567"/>
      <c r="J1" s="1567"/>
      <c r="K1" s="1567"/>
      <c r="L1" s="1567"/>
    </row>
    <row r="2" spans="1:12" ht="15.75">
      <c r="A2" s="173"/>
      <c r="B2" s="1566" t="s">
        <v>555</v>
      </c>
      <c r="C2" s="1566"/>
      <c r="D2" s="1566"/>
      <c r="E2" s="1566"/>
      <c r="F2" s="1566"/>
      <c r="G2" s="1566"/>
      <c r="H2" s="1566"/>
      <c r="I2" s="1566"/>
      <c r="J2" s="1566"/>
      <c r="K2" s="1566"/>
      <c r="L2" s="1566"/>
    </row>
    <row r="3" spans="1:12" ht="15.75">
      <c r="A3" s="173"/>
      <c r="B3" s="1566" t="s">
        <v>585</v>
      </c>
      <c r="C3" s="1566"/>
      <c r="D3" s="1566"/>
      <c r="E3" s="1566"/>
      <c r="F3" s="1566"/>
      <c r="G3" s="1566"/>
      <c r="H3" s="1566"/>
      <c r="I3" s="1566"/>
      <c r="J3" s="1566"/>
      <c r="K3" s="1566"/>
      <c r="L3" s="1566"/>
    </row>
    <row r="4" spans="1:12" ht="15.75">
      <c r="A4" s="173"/>
      <c r="B4" s="394"/>
      <c r="C4" s="394"/>
      <c r="D4" s="394"/>
      <c r="E4" s="1566"/>
      <c r="F4" s="1566"/>
      <c r="G4" s="1566"/>
      <c r="H4" s="1566"/>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47.25">
      <c r="A8" s="173"/>
      <c r="B8" s="924" t="str">
        <f>'WS R Interest'!B8</f>
        <v>Reconciliation Revenue Requirement For Year 2023 Available May 25, 2023</v>
      </c>
      <c r="C8" s="923"/>
      <c r="D8" s="923"/>
      <c r="E8" s="924" t="str">
        <f>'WS R Interest'!E8</f>
        <v>2023 Forecasted Revenue Requirement For Year 2023</v>
      </c>
      <c r="F8" s="923"/>
      <c r="G8" s="923"/>
      <c r="H8" s="394"/>
      <c r="I8" s="924" t="s">
        <v>557</v>
      </c>
      <c r="J8" s="394"/>
      <c r="K8" s="394"/>
      <c r="L8" s="394"/>
    </row>
    <row r="9" spans="1:12" ht="15.75">
      <c r="A9" s="173"/>
      <c r="B9" s="925" t="s">
        <v>406</v>
      </c>
      <c r="C9" s="923"/>
      <c r="D9" s="923"/>
      <c r="E9" s="925"/>
      <c r="F9" s="923"/>
      <c r="G9" s="923"/>
      <c r="H9" s="394"/>
      <c r="I9" s="926"/>
      <c r="J9" s="394"/>
      <c r="K9" s="394"/>
      <c r="L9" s="394"/>
    </row>
    <row r="10" spans="1:12" ht="16.5" thickBot="1">
      <c r="A10" s="173"/>
      <c r="B10" s="921">
        <v>50738253.706676178</v>
      </c>
      <c r="C10" s="927" t="str">
        <f>"-"</f>
        <v>-</v>
      </c>
      <c r="D10" s="928"/>
      <c r="E10" s="921">
        <v>51327987.350778349</v>
      </c>
      <c r="F10" s="929"/>
      <c r="G10" s="930" t="str">
        <f>"="</f>
        <v>=</v>
      </c>
      <c r="H10" s="931"/>
      <c r="I10" s="932">
        <f>IF(B10=0,0,E10-B10)</f>
        <v>589733.64410217106</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31.5">
      <c r="A14" s="173"/>
      <c r="B14" s="939" t="s">
        <v>620</v>
      </c>
      <c r="C14" s="934"/>
      <c r="D14" s="934"/>
      <c r="E14" s="940" t="s">
        <v>558</v>
      </c>
      <c r="F14" s="933"/>
      <c r="G14" s="940" t="s">
        <v>559</v>
      </c>
      <c r="H14" s="941" t="s">
        <v>560</v>
      </c>
      <c r="I14" s="942" t="s">
        <v>561</v>
      </c>
      <c r="J14" s="940" t="s">
        <v>562</v>
      </c>
      <c r="K14" s="943"/>
      <c r="L14" s="940" t="s">
        <v>563</v>
      </c>
    </row>
    <row r="15" spans="1:12" ht="15.75">
      <c r="A15" s="173"/>
      <c r="B15" s="939" t="s">
        <v>621</v>
      </c>
      <c r="C15" s="934"/>
      <c r="D15" s="934"/>
      <c r="E15" s="394"/>
      <c r="F15" s="944"/>
      <c r="G15" s="957">
        <v>6.4749999999999981E-3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tr">
        <f>'WS R Interest'!B17</f>
        <v>An over or under collection will be recovered prorata over 2023, held for 2024 and returned prorate over 2025</v>
      </c>
      <c r="C17" s="934"/>
      <c r="D17" s="934"/>
      <c r="E17" s="394"/>
      <c r="F17" s="944"/>
      <c r="G17" s="944"/>
      <c r="H17" s="933"/>
      <c r="I17" s="394"/>
      <c r="J17" s="394"/>
      <c r="K17" s="394"/>
      <c r="L17" s="394"/>
    </row>
    <row r="18" spans="1:12" ht="15.75">
      <c r="A18" s="173"/>
      <c r="B18" s="945" t="s">
        <v>406</v>
      </c>
      <c r="C18" s="934"/>
      <c r="D18" s="934"/>
      <c r="E18" s="934"/>
      <c r="F18" s="934"/>
      <c r="G18" s="1443" t="s">
        <v>406</v>
      </c>
      <c r="H18" s="394"/>
      <c r="I18" s="394"/>
      <c r="J18" s="394"/>
      <c r="K18" s="394"/>
      <c r="L18" s="394"/>
    </row>
    <row r="19" spans="1:12" ht="15.75">
      <c r="A19" s="173"/>
      <c r="B19" s="946"/>
      <c r="C19" s="934"/>
      <c r="D19" s="934"/>
      <c r="E19" s="934"/>
      <c r="F19" s="934"/>
      <c r="G19" s="1444"/>
      <c r="H19" s="394"/>
      <c r="I19" s="941"/>
      <c r="J19" s="934"/>
      <c r="K19" s="934"/>
      <c r="L19" s="934"/>
    </row>
    <row r="20" spans="1:12" ht="15.75">
      <c r="A20" s="173"/>
      <c r="B20" s="946" t="s">
        <v>564</v>
      </c>
      <c r="C20" s="934"/>
      <c r="D20" s="934"/>
      <c r="E20" s="934"/>
      <c r="F20" s="934"/>
      <c r="G20" s="1444"/>
      <c r="H20" s="394"/>
      <c r="I20" s="941" t="s">
        <v>565</v>
      </c>
      <c r="J20" s="934"/>
      <c r="K20" s="934"/>
      <c r="L20" s="934"/>
    </row>
    <row r="21" spans="1:12" ht="15.75">
      <c r="A21" s="173"/>
      <c r="B21" s="923" t="s">
        <v>566</v>
      </c>
      <c r="C21" s="923" t="str">
        <f>"Year "&amp;TCOS!L4-2</f>
        <v>Year 2023</v>
      </c>
      <c r="D21" s="923"/>
      <c r="E21" s="947">
        <f>I10/12</f>
        <v>49144.470341847591</v>
      </c>
      <c r="F21" s="947"/>
      <c r="G21" s="1445">
        <v>2.7700000000000003E-3</v>
      </c>
      <c r="H21" s="1316">
        <v>12</v>
      </c>
      <c r="I21" s="947">
        <f>G21*E21*H21*-1</f>
        <v>-1633.5621941630143</v>
      </c>
      <c r="J21" s="947"/>
      <c r="K21" s="947"/>
      <c r="L21" s="947">
        <f>(-I21+E21)*-1</f>
        <v>-50778.032536010607</v>
      </c>
    </row>
    <row r="22" spans="1:12" ht="15.75">
      <c r="A22" s="173"/>
      <c r="B22" s="923" t="s">
        <v>567</v>
      </c>
      <c r="C22" s="923" t="str">
        <f>C21</f>
        <v>Year 2023</v>
      </c>
      <c r="D22" s="923"/>
      <c r="E22" s="947">
        <f>+E21</f>
        <v>49144.470341847591</v>
      </c>
      <c r="F22" s="947"/>
      <c r="G22" s="1445">
        <f>+G21</f>
        <v>2.7700000000000003E-3</v>
      </c>
      <c r="H22" s="1316">
        <f t="shared" ref="H22:H32" si="0">+H21-1</f>
        <v>11</v>
      </c>
      <c r="I22" s="947">
        <f t="shared" ref="I22:I32" si="1">G22*E22*H22*-1</f>
        <v>-1497.4320113160964</v>
      </c>
      <c r="J22" s="947"/>
      <c r="K22" s="947"/>
      <c r="L22" s="947">
        <f t="shared" ref="L22:L32" si="2">(-I22+E22)*-1</f>
        <v>-50641.902353163685</v>
      </c>
    </row>
    <row r="23" spans="1:12" ht="15.75">
      <c r="A23" s="173"/>
      <c r="B23" s="923" t="s">
        <v>568</v>
      </c>
      <c r="C23" s="923" t="str">
        <f>C21</f>
        <v>Year 2023</v>
      </c>
      <c r="D23" s="923"/>
      <c r="E23" s="947">
        <f t="shared" ref="E23:E32" si="3">+E22</f>
        <v>49144.470341847591</v>
      </c>
      <c r="F23" s="947"/>
      <c r="G23" s="1445">
        <f t="shared" ref="G23:G32" si="4">+G22</f>
        <v>2.7700000000000003E-3</v>
      </c>
      <c r="H23" s="1316">
        <f t="shared" si="0"/>
        <v>10</v>
      </c>
      <c r="I23" s="947">
        <f t="shared" si="1"/>
        <v>-1361.3018284691784</v>
      </c>
      <c r="J23" s="947"/>
      <c r="K23" s="947"/>
      <c r="L23" s="947">
        <f t="shared" si="2"/>
        <v>-50505.77217031677</v>
      </c>
    </row>
    <row r="24" spans="1:12" ht="15.75">
      <c r="A24" s="173"/>
      <c r="B24" s="923" t="s">
        <v>569</v>
      </c>
      <c r="C24" s="923" t="str">
        <f>C21</f>
        <v>Year 2023</v>
      </c>
      <c r="D24" s="923"/>
      <c r="E24" s="947">
        <f t="shared" si="3"/>
        <v>49144.470341847591</v>
      </c>
      <c r="F24" s="947"/>
      <c r="G24" s="1445">
        <f t="shared" si="4"/>
        <v>2.7700000000000003E-3</v>
      </c>
      <c r="H24" s="1316">
        <f t="shared" si="0"/>
        <v>9</v>
      </c>
      <c r="I24" s="947">
        <f t="shared" si="1"/>
        <v>-1225.1716456222607</v>
      </c>
      <c r="J24" s="947"/>
      <c r="K24" s="947"/>
      <c r="L24" s="947">
        <f t="shared" si="2"/>
        <v>-50369.641987469855</v>
      </c>
    </row>
    <row r="25" spans="1:12" ht="15.75">
      <c r="A25" s="173"/>
      <c r="B25" s="923" t="s">
        <v>570</v>
      </c>
      <c r="C25" s="923" t="str">
        <f>C21</f>
        <v>Year 2023</v>
      </c>
      <c r="D25" s="923"/>
      <c r="E25" s="947">
        <f t="shared" si="3"/>
        <v>49144.470341847591</v>
      </c>
      <c r="F25" s="947"/>
      <c r="G25" s="1445">
        <f t="shared" si="4"/>
        <v>2.7700000000000003E-3</v>
      </c>
      <c r="H25" s="1316">
        <f t="shared" si="0"/>
        <v>8</v>
      </c>
      <c r="I25" s="947">
        <f t="shared" si="1"/>
        <v>-1089.0414627753428</v>
      </c>
      <c r="J25" s="947"/>
      <c r="K25" s="947"/>
      <c r="L25" s="947">
        <f t="shared" si="2"/>
        <v>-50233.511804622933</v>
      </c>
    </row>
    <row r="26" spans="1:12" ht="15.75">
      <c r="A26" s="173"/>
      <c r="B26" s="923" t="s">
        <v>571</v>
      </c>
      <c r="C26" s="923" t="str">
        <f>C21</f>
        <v>Year 2023</v>
      </c>
      <c r="D26" s="923"/>
      <c r="E26" s="947">
        <f t="shared" si="3"/>
        <v>49144.470341847591</v>
      </c>
      <c r="F26" s="947"/>
      <c r="G26" s="1445">
        <f t="shared" si="4"/>
        <v>2.7700000000000003E-3</v>
      </c>
      <c r="H26" s="1316">
        <f t="shared" si="0"/>
        <v>7</v>
      </c>
      <c r="I26" s="947">
        <f t="shared" si="1"/>
        <v>-952.91127992842496</v>
      </c>
      <c r="J26" s="947"/>
      <c r="K26" s="947"/>
      <c r="L26" s="947">
        <f t="shared" si="2"/>
        <v>-50097.381621776018</v>
      </c>
    </row>
    <row r="27" spans="1:12" ht="15.75">
      <c r="A27" s="173"/>
      <c r="B27" s="923" t="s">
        <v>572</v>
      </c>
      <c r="C27" s="923" t="str">
        <f>C21</f>
        <v>Year 2023</v>
      </c>
      <c r="D27" s="923"/>
      <c r="E27" s="947">
        <f t="shared" si="3"/>
        <v>49144.470341847591</v>
      </c>
      <c r="F27" s="947"/>
      <c r="G27" s="1445">
        <f t="shared" si="4"/>
        <v>2.7700000000000003E-3</v>
      </c>
      <c r="H27" s="1316">
        <f t="shared" si="0"/>
        <v>6</v>
      </c>
      <c r="I27" s="947">
        <f t="shared" si="1"/>
        <v>-816.78109708150714</v>
      </c>
      <c r="J27" s="947"/>
      <c r="K27" s="947"/>
      <c r="L27" s="947">
        <f t="shared" si="2"/>
        <v>-49961.251438929095</v>
      </c>
    </row>
    <row r="28" spans="1:12" ht="15.75">
      <c r="A28" s="173"/>
      <c r="B28" s="923" t="s">
        <v>573</v>
      </c>
      <c r="C28" s="923" t="str">
        <f>C21</f>
        <v>Year 2023</v>
      </c>
      <c r="D28" s="923"/>
      <c r="E28" s="947">
        <f t="shared" si="3"/>
        <v>49144.470341847591</v>
      </c>
      <c r="F28" s="947"/>
      <c r="G28" s="1445">
        <f t="shared" si="4"/>
        <v>2.7700000000000003E-3</v>
      </c>
      <c r="H28" s="1316">
        <f t="shared" si="0"/>
        <v>5</v>
      </c>
      <c r="I28" s="947">
        <f t="shared" si="1"/>
        <v>-680.65091423458921</v>
      </c>
      <c r="J28" s="947"/>
      <c r="K28" s="947"/>
      <c r="L28" s="947">
        <f t="shared" si="2"/>
        <v>-49825.12125608218</v>
      </c>
    </row>
    <row r="29" spans="1:12" ht="15.75">
      <c r="A29" s="173"/>
      <c r="B29" s="923" t="s">
        <v>574</v>
      </c>
      <c r="C29" s="923" t="str">
        <f>C21</f>
        <v>Year 2023</v>
      </c>
      <c r="D29" s="923"/>
      <c r="E29" s="947">
        <f t="shared" si="3"/>
        <v>49144.470341847591</v>
      </c>
      <c r="F29" s="947"/>
      <c r="G29" s="1445">
        <f t="shared" si="4"/>
        <v>2.7700000000000003E-3</v>
      </c>
      <c r="H29" s="1316">
        <f t="shared" si="0"/>
        <v>4</v>
      </c>
      <c r="I29" s="947">
        <f t="shared" si="1"/>
        <v>-544.52073138767139</v>
      </c>
      <c r="J29" s="947"/>
      <c r="K29" s="947"/>
      <c r="L29" s="947">
        <f t="shared" si="2"/>
        <v>-49688.991073235266</v>
      </c>
    </row>
    <row r="30" spans="1:12" ht="15.75">
      <c r="A30" s="173"/>
      <c r="B30" s="923" t="s">
        <v>575</v>
      </c>
      <c r="C30" s="923" t="str">
        <f>C21</f>
        <v>Year 2023</v>
      </c>
      <c r="D30" s="923"/>
      <c r="E30" s="947">
        <f t="shared" si="3"/>
        <v>49144.470341847591</v>
      </c>
      <c r="F30" s="947"/>
      <c r="G30" s="1445">
        <f t="shared" si="4"/>
        <v>2.7700000000000003E-3</v>
      </c>
      <c r="H30" s="1316">
        <f t="shared" si="0"/>
        <v>3</v>
      </c>
      <c r="I30" s="947">
        <f t="shared" si="1"/>
        <v>-408.39054854075357</v>
      </c>
      <c r="J30" s="947"/>
      <c r="K30" s="947"/>
      <c r="L30" s="947">
        <f t="shared" si="2"/>
        <v>-49552.860890388343</v>
      </c>
    </row>
    <row r="31" spans="1:12" ht="15.75">
      <c r="A31" s="173"/>
      <c r="B31" s="923" t="s">
        <v>576</v>
      </c>
      <c r="C31" s="923" t="str">
        <f>C21</f>
        <v>Year 2023</v>
      </c>
      <c r="D31" s="923"/>
      <c r="E31" s="947">
        <f t="shared" si="3"/>
        <v>49144.470341847591</v>
      </c>
      <c r="F31" s="947"/>
      <c r="G31" s="1445">
        <f t="shared" si="4"/>
        <v>2.7700000000000003E-3</v>
      </c>
      <c r="H31" s="1316">
        <f t="shared" si="0"/>
        <v>2</v>
      </c>
      <c r="I31" s="947">
        <f t="shared" si="1"/>
        <v>-272.26036569383569</v>
      </c>
      <c r="J31" s="947"/>
      <c r="K31" s="947"/>
      <c r="L31" s="947">
        <f t="shared" si="2"/>
        <v>-49416.730707541428</v>
      </c>
    </row>
    <row r="32" spans="1:12" ht="15.75">
      <c r="A32" s="173"/>
      <c r="B32" s="923" t="s">
        <v>577</v>
      </c>
      <c r="C32" s="923" t="str">
        <f>C21</f>
        <v>Year 2023</v>
      </c>
      <c r="D32" s="923"/>
      <c r="E32" s="947">
        <f t="shared" si="3"/>
        <v>49144.470341847591</v>
      </c>
      <c r="F32" s="947"/>
      <c r="G32" s="1445">
        <f t="shared" si="4"/>
        <v>2.7700000000000003E-3</v>
      </c>
      <c r="H32" s="1316">
        <f t="shared" si="0"/>
        <v>1</v>
      </c>
      <c r="I32" s="949">
        <f t="shared" si="1"/>
        <v>-136.13018284691785</v>
      </c>
      <c r="J32" s="947"/>
      <c r="K32" s="947"/>
      <c r="L32" s="947">
        <f t="shared" si="2"/>
        <v>-49280.600524694506</v>
      </c>
    </row>
    <row r="33" spans="1:12" ht="15.75">
      <c r="A33" s="173"/>
      <c r="B33" s="923"/>
      <c r="C33" s="923"/>
      <c r="D33" s="923"/>
      <c r="E33" s="947"/>
      <c r="F33" s="947"/>
      <c r="G33" s="1445"/>
      <c r="H33" s="934"/>
      <c r="I33" s="947">
        <f>SUM(I21:I32)</f>
        <v>-10618.154262059592</v>
      </c>
      <c r="J33" s="947"/>
      <c r="K33" s="947"/>
      <c r="L33" s="950">
        <f>SUM(L21:L32)</f>
        <v>-600351.7983642309</v>
      </c>
    </row>
    <row r="34" spans="1:12" ht="15.75">
      <c r="A34" s="173"/>
      <c r="B34" s="923"/>
      <c r="C34" s="923"/>
      <c r="D34" s="923"/>
      <c r="E34" s="947"/>
      <c r="F34" s="947"/>
      <c r="G34" s="1445"/>
      <c r="H34" s="934"/>
      <c r="I34" s="947"/>
      <c r="J34" s="947" t="s">
        <v>406</v>
      </c>
      <c r="K34" s="947"/>
      <c r="L34" s="394"/>
    </row>
    <row r="35" spans="1:12" ht="15.75">
      <c r="A35" s="173"/>
      <c r="B35" s="923"/>
      <c r="C35" s="923"/>
      <c r="D35" s="923"/>
      <c r="E35" s="933"/>
      <c r="F35" s="933"/>
      <c r="G35" s="1445"/>
      <c r="H35" s="934"/>
      <c r="I35" s="951" t="s">
        <v>578</v>
      </c>
      <c r="J35" s="947"/>
      <c r="K35" s="947"/>
      <c r="L35" s="947"/>
    </row>
    <row r="36" spans="1:12" ht="15.75">
      <c r="A36" s="173"/>
      <c r="B36" s="923" t="s">
        <v>579</v>
      </c>
      <c r="C36" s="923" t="str">
        <f>"Year "&amp;TCOS!L4-1</f>
        <v>Year 2024</v>
      </c>
      <c r="D36" s="923"/>
      <c r="E36" s="933">
        <f>L33</f>
        <v>-600351.7983642309</v>
      </c>
      <c r="F36" s="933"/>
      <c r="G36" s="1445">
        <v>4.239999999999999E-3</v>
      </c>
      <c r="H36" s="1316">
        <v>12</v>
      </c>
      <c r="I36" s="947">
        <f>+H36*G36*E36</f>
        <v>-30545.899500772062</v>
      </c>
      <c r="J36" s="947"/>
      <c r="K36" s="947"/>
      <c r="L36" s="950">
        <f>+E36+I36</f>
        <v>-630897.69786500291</v>
      </c>
    </row>
    <row r="37" spans="1:12" ht="15.75">
      <c r="A37" s="173"/>
      <c r="B37" s="923"/>
      <c r="C37" s="923"/>
      <c r="D37" s="923"/>
      <c r="E37" s="933"/>
      <c r="F37" s="933"/>
      <c r="G37" s="1445"/>
      <c r="H37" s="923"/>
      <c r="I37" s="947"/>
      <c r="J37" s="947"/>
      <c r="K37" s="947"/>
      <c r="L37" s="947"/>
    </row>
    <row r="38" spans="1:12" ht="15.75">
      <c r="A38" s="173"/>
      <c r="B38" s="952" t="s">
        <v>580</v>
      </c>
      <c r="C38" s="923"/>
      <c r="D38" s="923"/>
      <c r="E38" s="947"/>
      <c r="F38" s="947"/>
      <c r="G38" s="1445"/>
      <c r="H38" s="923"/>
      <c r="I38" s="951" t="s">
        <v>565</v>
      </c>
      <c r="J38" s="947"/>
      <c r="K38" s="947"/>
      <c r="L38" s="947"/>
    </row>
    <row r="39" spans="1:12" ht="15.75">
      <c r="A39" s="173"/>
      <c r="B39" s="923" t="s">
        <v>566</v>
      </c>
      <c r="C39" s="923" t="str">
        <f>"Year "&amp;TCOS!L4</f>
        <v>Year 2025</v>
      </c>
      <c r="D39" s="923"/>
      <c r="E39" s="953">
        <f>-L36</f>
        <v>630897.69786500291</v>
      </c>
      <c r="F39" s="933"/>
      <c r="G39" s="1445">
        <f>G15</f>
        <v>6.4749999999999981E-3</v>
      </c>
      <c r="H39" s="923"/>
      <c r="I39" s="947">
        <f xml:space="preserve"> -G39*E39</f>
        <v>-4085.0625936758925</v>
      </c>
      <c r="J39" s="947">
        <f>PMT(G39,12,L$36)</f>
        <v>54813.730178216952</v>
      </c>
      <c r="K39" s="947"/>
      <c r="L39" s="947">
        <f>(+E39+E39*G39-J39)*-1</f>
        <v>-580169.03028046188</v>
      </c>
    </row>
    <row r="40" spans="1:12" ht="15.75">
      <c r="A40" s="173"/>
      <c r="B40" s="923" t="s">
        <v>567</v>
      </c>
      <c r="C40" s="923" t="str">
        <f>+C39</f>
        <v>Year 2025</v>
      </c>
      <c r="D40" s="923"/>
      <c r="E40" s="933">
        <f>-L39</f>
        <v>580169.03028046188</v>
      </c>
      <c r="F40" s="933"/>
      <c r="G40" s="1445">
        <f>+G39</f>
        <v>6.4749999999999981E-3</v>
      </c>
      <c r="H40" s="923"/>
      <c r="I40" s="947">
        <f xml:space="preserve"> -G40*E40</f>
        <v>-3756.5944710659896</v>
      </c>
      <c r="J40" s="947">
        <f>J39</f>
        <v>54813.730178216952</v>
      </c>
      <c r="K40" s="947"/>
      <c r="L40" s="947">
        <f t="shared" ref="L40:L50" si="5">(+E40+E40*G40-J40)*-1</f>
        <v>-529111.89457331097</v>
      </c>
    </row>
    <row r="41" spans="1:12" ht="15.75">
      <c r="A41" s="173"/>
      <c r="B41" s="923" t="s">
        <v>568</v>
      </c>
      <c r="C41" s="923" t="str">
        <f>+C40</f>
        <v>Year 2025</v>
      </c>
      <c r="D41" s="923"/>
      <c r="E41" s="933">
        <f t="shared" ref="E41:E50" si="6">-L40</f>
        <v>529111.89457331097</v>
      </c>
      <c r="F41" s="933"/>
      <c r="G41" s="1445">
        <f t="shared" ref="G41:G50" si="7">+G40</f>
        <v>6.4749999999999981E-3</v>
      </c>
      <c r="H41" s="923"/>
      <c r="I41" s="947">
        <f t="shared" ref="I41:I50" si="8" xml:space="preserve"> -G41*E41</f>
        <v>-3425.9995173621874</v>
      </c>
      <c r="J41" s="947">
        <f t="shared" ref="J41:J50" si="9">J40</f>
        <v>54813.730178216952</v>
      </c>
      <c r="K41" s="947"/>
      <c r="L41" s="947">
        <f t="shared" si="5"/>
        <v>-477724.16391245625</v>
      </c>
    </row>
    <row r="42" spans="1:12" ht="15.75">
      <c r="A42" s="173"/>
      <c r="B42" s="923" t="s">
        <v>569</v>
      </c>
      <c r="C42" s="923" t="str">
        <f>+C41</f>
        <v>Year 2025</v>
      </c>
      <c r="D42" s="923"/>
      <c r="E42" s="933">
        <f t="shared" si="6"/>
        <v>477724.16391245625</v>
      </c>
      <c r="F42" s="933"/>
      <c r="G42" s="1445">
        <f t="shared" si="7"/>
        <v>6.4749999999999981E-3</v>
      </c>
      <c r="H42" s="923"/>
      <c r="I42" s="947">
        <f t="shared" si="8"/>
        <v>-3093.2639613331535</v>
      </c>
      <c r="J42" s="947">
        <f t="shared" si="9"/>
        <v>54813.730178216952</v>
      </c>
      <c r="K42" s="947"/>
      <c r="L42" s="947">
        <f t="shared" si="5"/>
        <v>-426003.69769557245</v>
      </c>
    </row>
    <row r="43" spans="1:12" ht="15.75">
      <c r="A43" s="173"/>
      <c r="B43" s="923" t="s">
        <v>570</v>
      </c>
      <c r="C43" s="923" t="str">
        <f>+C42</f>
        <v>Year 2025</v>
      </c>
      <c r="D43" s="923"/>
      <c r="E43" s="933">
        <f t="shared" si="6"/>
        <v>426003.69769557245</v>
      </c>
      <c r="F43" s="933"/>
      <c r="G43" s="1445">
        <f t="shared" si="7"/>
        <v>6.4749999999999981E-3</v>
      </c>
      <c r="H43" s="923"/>
      <c r="I43" s="947">
        <f t="shared" si="8"/>
        <v>-2758.3739425788308</v>
      </c>
      <c r="J43" s="947">
        <f>J42</f>
        <v>54813.730178216952</v>
      </c>
      <c r="K43" s="947"/>
      <c r="L43" s="947">
        <f t="shared" si="5"/>
        <v>-373948.34145993437</v>
      </c>
    </row>
    <row r="44" spans="1:12" ht="15.75">
      <c r="A44" s="173"/>
      <c r="B44" s="923" t="s">
        <v>571</v>
      </c>
      <c r="C44" s="923" t="str">
        <f>C43</f>
        <v>Year 2025</v>
      </c>
      <c r="D44" s="394"/>
      <c r="E44" s="933">
        <f t="shared" si="6"/>
        <v>373948.34145993437</v>
      </c>
      <c r="F44" s="933"/>
      <c r="G44" s="1445">
        <f t="shared" si="7"/>
        <v>6.4749999999999981E-3</v>
      </c>
      <c r="H44" s="923"/>
      <c r="I44" s="947">
        <f t="shared" si="8"/>
        <v>-2421.3155109530744</v>
      </c>
      <c r="J44" s="947">
        <f t="shared" si="9"/>
        <v>54813.730178216952</v>
      </c>
      <c r="K44" s="947"/>
      <c r="L44" s="947">
        <f t="shared" si="5"/>
        <v>-321555.92679267051</v>
      </c>
    </row>
    <row r="45" spans="1:12" ht="15.75">
      <c r="A45" s="173"/>
      <c r="B45" s="923" t="s">
        <v>572</v>
      </c>
      <c r="C45" s="923" t="str">
        <f t="shared" ref="C45:C50" si="10">+C44</f>
        <v>Year 2025</v>
      </c>
      <c r="D45" s="923"/>
      <c r="E45" s="933">
        <f t="shared" si="6"/>
        <v>321555.92679267051</v>
      </c>
      <c r="F45" s="933"/>
      <c r="G45" s="1445">
        <f t="shared" si="7"/>
        <v>6.4749999999999981E-3</v>
      </c>
      <c r="H45" s="923"/>
      <c r="I45" s="947">
        <f t="shared" si="8"/>
        <v>-2082.074625982541</v>
      </c>
      <c r="J45" s="947">
        <f t="shared" si="9"/>
        <v>54813.730178216952</v>
      </c>
      <c r="K45" s="947"/>
      <c r="L45" s="947">
        <f t="shared" si="5"/>
        <v>-268824.27124043612</v>
      </c>
    </row>
    <row r="46" spans="1:12" ht="15.75">
      <c r="A46" s="173"/>
      <c r="B46" s="923" t="s">
        <v>573</v>
      </c>
      <c r="C46" s="923" t="str">
        <f t="shared" si="10"/>
        <v>Year 2025</v>
      </c>
      <c r="D46" s="923"/>
      <c r="E46" s="933">
        <f t="shared" si="6"/>
        <v>268824.27124043612</v>
      </c>
      <c r="F46" s="933"/>
      <c r="G46" s="1445">
        <f t="shared" si="7"/>
        <v>6.4749999999999981E-3</v>
      </c>
      <c r="H46" s="923"/>
      <c r="I46" s="947">
        <f t="shared" si="8"/>
        <v>-1740.6371562818233</v>
      </c>
      <c r="J46" s="947">
        <f t="shared" si="9"/>
        <v>54813.730178216952</v>
      </c>
      <c r="K46" s="947"/>
      <c r="L46" s="947">
        <f t="shared" si="5"/>
        <v>-215751.17821850098</v>
      </c>
    </row>
    <row r="47" spans="1:12" ht="15.75">
      <c r="A47" s="173"/>
      <c r="B47" s="923" t="s">
        <v>574</v>
      </c>
      <c r="C47" s="923" t="str">
        <f t="shared" si="10"/>
        <v>Year 2025</v>
      </c>
      <c r="D47" s="923"/>
      <c r="E47" s="933">
        <f t="shared" si="6"/>
        <v>215751.17821850098</v>
      </c>
      <c r="F47" s="933"/>
      <c r="G47" s="1445">
        <f t="shared" si="7"/>
        <v>6.4749999999999981E-3</v>
      </c>
      <c r="H47" s="923"/>
      <c r="I47" s="947">
        <f t="shared" si="8"/>
        <v>-1396.9888789647935</v>
      </c>
      <c r="J47" s="947">
        <f>J46</f>
        <v>54813.730178216952</v>
      </c>
      <c r="K47" s="947"/>
      <c r="L47" s="947">
        <f t="shared" si="5"/>
        <v>-162334.43691924884</v>
      </c>
    </row>
    <row r="48" spans="1:12" ht="15.75">
      <c r="A48" s="173"/>
      <c r="B48" s="923" t="s">
        <v>575</v>
      </c>
      <c r="C48" s="923" t="str">
        <f t="shared" si="10"/>
        <v>Year 2025</v>
      </c>
      <c r="D48" s="923"/>
      <c r="E48" s="933">
        <f t="shared" si="6"/>
        <v>162334.43691924884</v>
      </c>
      <c r="F48" s="933"/>
      <c r="G48" s="1445">
        <f t="shared" si="7"/>
        <v>6.4749999999999981E-3</v>
      </c>
      <c r="H48" s="923"/>
      <c r="I48" s="947">
        <f t="shared" si="8"/>
        <v>-1051.1154790521359</v>
      </c>
      <c r="J48" s="947">
        <f t="shared" si="9"/>
        <v>54813.730178216952</v>
      </c>
      <c r="K48" s="947"/>
      <c r="L48" s="947">
        <f t="shared" si="5"/>
        <v>-108571.82222008401</v>
      </c>
    </row>
    <row r="49" spans="1:12" ht="15.75">
      <c r="A49" s="173"/>
      <c r="B49" s="923" t="s">
        <v>576</v>
      </c>
      <c r="C49" s="923" t="str">
        <f t="shared" si="10"/>
        <v>Year 2025</v>
      </c>
      <c r="D49" s="923"/>
      <c r="E49" s="933">
        <f t="shared" si="6"/>
        <v>108571.82222008401</v>
      </c>
      <c r="F49" s="933"/>
      <c r="G49" s="1445">
        <f t="shared" si="7"/>
        <v>6.4749999999999981E-3</v>
      </c>
      <c r="H49" s="923"/>
      <c r="I49" s="947">
        <f t="shared" si="8"/>
        <v>-703.00254887504377</v>
      </c>
      <c r="J49" s="947">
        <f t="shared" si="9"/>
        <v>54813.730178216952</v>
      </c>
      <c r="K49" s="947"/>
      <c r="L49" s="947">
        <f t="shared" si="5"/>
        <v>-54461.094590742097</v>
      </c>
    </row>
    <row r="50" spans="1:12" ht="15.75">
      <c r="A50" s="173"/>
      <c r="B50" s="923" t="s">
        <v>577</v>
      </c>
      <c r="C50" s="923" t="str">
        <f t="shared" si="10"/>
        <v>Year 2025</v>
      </c>
      <c r="D50" s="923"/>
      <c r="E50" s="933">
        <f t="shared" si="6"/>
        <v>54461.094590742097</v>
      </c>
      <c r="F50" s="933"/>
      <c r="G50" s="1445">
        <f t="shared" si="7"/>
        <v>6.4749999999999981E-3</v>
      </c>
      <c r="H50" s="923"/>
      <c r="I50" s="949">
        <f t="shared" si="8"/>
        <v>-352.63558747505499</v>
      </c>
      <c r="J50" s="947">
        <f t="shared" si="9"/>
        <v>54813.730178216952</v>
      </c>
      <c r="K50" s="947"/>
      <c r="L50" s="947">
        <f t="shared" si="5"/>
        <v>-1.964508555829525E-10</v>
      </c>
    </row>
    <row r="51" spans="1:12" ht="15.75">
      <c r="A51" s="173"/>
      <c r="B51" s="923"/>
      <c r="C51" s="923"/>
      <c r="D51" s="923"/>
      <c r="E51" s="933"/>
      <c r="F51" s="933"/>
      <c r="G51" s="948"/>
      <c r="H51" s="923"/>
      <c r="I51" s="947">
        <f>SUM(I39:I50)</f>
        <v>-26867.064273600517</v>
      </c>
      <c r="J51" s="947"/>
      <c r="K51" s="947"/>
      <c r="L51" s="947"/>
    </row>
    <row r="52" spans="1:12" ht="15">
      <c r="A52" s="173"/>
      <c r="B52" s="394"/>
      <c r="C52" s="394"/>
      <c r="D52" s="394"/>
      <c r="E52" s="394"/>
      <c r="F52" s="394"/>
      <c r="G52" s="394"/>
      <c r="H52" s="394"/>
      <c r="I52" s="394"/>
      <c r="J52" s="954"/>
      <c r="K52" s="394"/>
      <c r="L52" s="394"/>
    </row>
    <row r="53" spans="1:12" ht="15.75">
      <c r="A53" s="173"/>
      <c r="B53" s="923" t="s">
        <v>581</v>
      </c>
      <c r="C53" s="394"/>
      <c r="D53" s="394"/>
      <c r="E53" s="394"/>
      <c r="F53" s="394"/>
      <c r="G53" s="394"/>
      <c r="H53" s="394"/>
      <c r="I53" s="394"/>
      <c r="J53" s="955">
        <f>(SUM(J39:J50)*-1)</f>
        <v>-657764.76213860337</v>
      </c>
      <c r="K53" s="394"/>
      <c r="L53" s="394"/>
    </row>
    <row r="54" spans="1:12" ht="15.75">
      <c r="A54" s="173"/>
      <c r="B54" s="923" t="s">
        <v>582</v>
      </c>
      <c r="C54" s="394"/>
      <c r="D54" s="394"/>
      <c r="E54" s="394"/>
      <c r="F54" s="394"/>
      <c r="G54" s="394"/>
      <c r="H54" s="394"/>
      <c r="I54" s="394"/>
      <c r="J54" s="956">
        <f>+I10</f>
        <v>589733.64410217106</v>
      </c>
      <c r="K54" s="394"/>
      <c r="L54" s="394"/>
    </row>
    <row r="55" spans="1:12" ht="15.75">
      <c r="A55" s="173"/>
      <c r="B55" s="923" t="s">
        <v>583</v>
      </c>
      <c r="C55" s="394"/>
      <c r="D55" s="394"/>
      <c r="E55" s="394"/>
      <c r="F55" s="394"/>
      <c r="G55" s="394"/>
      <c r="H55" s="394"/>
      <c r="I55" s="394"/>
      <c r="J55" s="955">
        <f>(J53+J54)</f>
        <v>-68031.118036432308</v>
      </c>
      <c r="K55" s="394"/>
      <c r="L55" s="394"/>
    </row>
    <row r="56" spans="1:12">
      <c r="A56" s="173"/>
      <c r="B56" s="393"/>
      <c r="C56" s="393"/>
      <c r="D56" s="393"/>
      <c r="E56" s="393"/>
      <c r="F56" s="393"/>
      <c r="G56" s="393"/>
      <c r="H56" s="393"/>
      <c r="I56" s="393"/>
      <c r="J56" s="393"/>
      <c r="K56" s="393"/>
      <c r="L56" s="393"/>
    </row>
    <row r="57" spans="1:12" ht="63.75" customHeight="1">
      <c r="A57" s="173"/>
      <c r="B57" s="1568" t="s">
        <v>584</v>
      </c>
      <c r="C57" s="1568"/>
      <c r="D57" s="1568"/>
      <c r="E57" s="1568"/>
      <c r="F57" s="1568"/>
      <c r="G57" s="1568"/>
      <c r="H57" s="1568"/>
      <c r="I57" s="1568"/>
      <c r="J57" s="1568"/>
      <c r="K57" s="1568"/>
      <c r="L57" s="1568"/>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7"/>
  <sheetViews>
    <sheetView view="pageBreakPreview" zoomScale="60" zoomScaleNormal="100" workbookViewId="0">
      <selection activeCell="B17" sqref="B17"/>
    </sheetView>
  </sheetViews>
  <sheetFormatPr defaultRowHeight="12.75"/>
  <cols>
    <col min="2" max="2" width="25.28515625" customWidth="1"/>
    <col min="5" max="5" width="22.42578125" customWidth="1"/>
    <col min="7" max="7" width="18" customWidth="1"/>
    <col min="9" max="9" width="21.28515625" customWidth="1"/>
    <col min="10" max="10" width="19.42578125" customWidth="1"/>
    <col min="12" max="12" width="18.85546875" customWidth="1"/>
  </cols>
  <sheetData>
    <row r="1" spans="1:12" ht="15.75">
      <c r="A1" s="173"/>
      <c r="B1" s="1567" t="s">
        <v>608</v>
      </c>
      <c r="C1" s="1567"/>
      <c r="D1" s="1567"/>
      <c r="E1" s="1567"/>
      <c r="F1" s="1567"/>
      <c r="G1" s="1567"/>
      <c r="H1" s="1567"/>
      <c r="I1" s="1567"/>
      <c r="J1" s="1567"/>
      <c r="K1" s="1567"/>
      <c r="L1" s="1567"/>
    </row>
    <row r="2" spans="1:12" ht="15.75">
      <c r="A2" s="173"/>
      <c r="B2" s="1566" t="s">
        <v>555</v>
      </c>
      <c r="C2" s="1566"/>
      <c r="D2" s="1566"/>
      <c r="E2" s="1566"/>
      <c r="F2" s="1566"/>
      <c r="G2" s="1566"/>
      <c r="H2" s="1566"/>
      <c r="I2" s="1566"/>
      <c r="J2" s="1566"/>
      <c r="K2" s="1566"/>
      <c r="L2" s="1566"/>
    </row>
    <row r="3" spans="1:12" ht="15.75">
      <c r="A3" s="173"/>
      <c r="B3" s="1566" t="s">
        <v>585</v>
      </c>
      <c r="C3" s="1566"/>
      <c r="D3" s="1566"/>
      <c r="E3" s="1566"/>
      <c r="F3" s="1566"/>
      <c r="G3" s="1566"/>
      <c r="H3" s="1566"/>
      <c r="I3" s="1566"/>
      <c r="J3" s="1566"/>
      <c r="K3" s="1566"/>
      <c r="L3" s="1566"/>
    </row>
    <row r="4" spans="1:12" ht="15.75">
      <c r="A4" s="173"/>
      <c r="B4" s="394"/>
      <c r="C4" s="394"/>
      <c r="D4" s="394"/>
      <c r="E4" s="1566"/>
      <c r="F4" s="1566"/>
      <c r="G4" s="1566"/>
      <c r="H4" s="1566"/>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47.25">
      <c r="A8" s="173"/>
      <c r="B8" s="924" t="str">
        <f>'WS R Interest'!B8</f>
        <v>Reconciliation Revenue Requirement For Year 2023 Available May 25, 2023</v>
      </c>
      <c r="C8" s="923"/>
      <c r="D8" s="923"/>
      <c r="E8" s="924" t="s">
        <v>986</v>
      </c>
      <c r="F8" s="923"/>
      <c r="G8" s="923"/>
      <c r="H8" s="394"/>
      <c r="I8" s="924" t="s">
        <v>557</v>
      </c>
      <c r="J8" s="394"/>
      <c r="K8" s="394"/>
      <c r="L8" s="394"/>
    </row>
    <row r="9" spans="1:12" ht="15.75">
      <c r="A9" s="173"/>
      <c r="B9" s="925" t="s">
        <v>406</v>
      </c>
      <c r="C9" s="923"/>
      <c r="D9" s="923"/>
      <c r="E9" s="925"/>
      <c r="F9" s="923"/>
      <c r="G9" s="923"/>
      <c r="H9" s="394"/>
      <c r="I9" s="926"/>
      <c r="J9" s="394"/>
      <c r="K9" s="394"/>
      <c r="L9" s="394"/>
    </row>
    <row r="10" spans="1:12" ht="16.5" thickBot="1">
      <c r="A10" s="173"/>
      <c r="B10" s="921">
        <v>1463876.1500000001</v>
      </c>
      <c r="C10" s="927" t="str">
        <f>"-"</f>
        <v>-</v>
      </c>
      <c r="D10" s="928"/>
      <c r="E10" s="921">
        <v>1373362.3496846748</v>
      </c>
      <c r="F10" s="929"/>
      <c r="G10" s="930" t="str">
        <f>"="</f>
        <v>=</v>
      </c>
      <c r="H10" s="931"/>
      <c r="I10" s="932">
        <f>IF(B10=0,0,E10-B10)</f>
        <v>-90513.800315325381</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31.5">
      <c r="A14" s="173"/>
      <c r="B14" s="939" t="s">
        <v>620</v>
      </c>
      <c r="C14" s="934"/>
      <c r="D14" s="934"/>
      <c r="E14" s="940" t="s">
        <v>558</v>
      </c>
      <c r="F14" s="933"/>
      <c r="G14" s="940" t="s">
        <v>559</v>
      </c>
      <c r="H14" s="941" t="s">
        <v>560</v>
      </c>
      <c r="I14" s="942" t="s">
        <v>561</v>
      </c>
      <c r="J14" s="940" t="s">
        <v>562</v>
      </c>
      <c r="K14" s="943"/>
      <c r="L14" s="940" t="s">
        <v>563</v>
      </c>
    </row>
    <row r="15" spans="1:12" ht="15.75">
      <c r="A15" s="173"/>
      <c r="B15" s="939" t="s">
        <v>621</v>
      </c>
      <c r="C15" s="934"/>
      <c r="D15" s="934"/>
      <c r="E15" s="394"/>
      <c r="F15" s="944"/>
      <c r="G15" s="957">
        <v>6.4749999999999981E-3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tr">
        <f>'WS R Interest'!B17</f>
        <v>An over or under collection will be recovered prorata over 2023, held for 2024 and returned prorate over 2025</v>
      </c>
      <c r="C17" s="934"/>
      <c r="D17" s="934"/>
      <c r="E17" s="394"/>
      <c r="F17" s="944"/>
      <c r="G17" s="944"/>
      <c r="H17" s="933"/>
      <c r="I17" s="394"/>
      <c r="J17" s="394"/>
      <c r="K17" s="394"/>
      <c r="L17" s="394"/>
    </row>
    <row r="18" spans="1:12" ht="15.75">
      <c r="A18" s="173"/>
      <c r="B18" s="945" t="s">
        <v>406</v>
      </c>
      <c r="C18" s="934"/>
      <c r="D18" s="934"/>
      <c r="E18" s="934"/>
      <c r="F18" s="934"/>
      <c r="G18" s="1443" t="s">
        <v>406</v>
      </c>
      <c r="H18" s="394"/>
      <c r="I18" s="394"/>
      <c r="J18" s="394"/>
      <c r="K18" s="394"/>
      <c r="L18" s="394"/>
    </row>
    <row r="19" spans="1:12" ht="15.75">
      <c r="A19" s="173"/>
      <c r="B19" s="946"/>
      <c r="C19" s="934"/>
      <c r="D19" s="934"/>
      <c r="E19" s="934"/>
      <c r="F19" s="934"/>
      <c r="G19" s="1444"/>
      <c r="H19" s="394"/>
      <c r="I19" s="941"/>
      <c r="J19" s="934"/>
      <c r="K19" s="934"/>
      <c r="L19" s="934"/>
    </row>
    <row r="20" spans="1:12" ht="15.75">
      <c r="A20" s="173"/>
      <c r="B20" s="946" t="s">
        <v>564</v>
      </c>
      <c r="C20" s="934"/>
      <c r="D20" s="934"/>
      <c r="E20" s="934"/>
      <c r="F20" s="934"/>
      <c r="G20" s="1444"/>
      <c r="H20" s="394"/>
      <c r="I20" s="941" t="s">
        <v>565</v>
      </c>
      <c r="J20" s="934"/>
      <c r="K20" s="934"/>
      <c r="L20" s="934"/>
    </row>
    <row r="21" spans="1:12" ht="15.75">
      <c r="A21" s="173"/>
      <c r="B21" s="923" t="s">
        <v>566</v>
      </c>
      <c r="C21" s="923" t="str">
        <f>"Year "&amp;TCOS!L4-2</f>
        <v>Year 2023</v>
      </c>
      <c r="D21" s="923"/>
      <c r="E21" s="947">
        <f>I10/12</f>
        <v>-7542.8166929437821</v>
      </c>
      <c r="F21" s="947"/>
      <c r="G21" s="1445">
        <v>2.7700000000000003E-3</v>
      </c>
      <c r="H21" s="1316">
        <v>12</v>
      </c>
      <c r="I21" s="947">
        <f>G21*E21*H21*-1</f>
        <v>250.72322687345132</v>
      </c>
      <c r="J21" s="947"/>
      <c r="K21" s="947"/>
      <c r="L21" s="947">
        <f>(-I21+E21)*-1</f>
        <v>7793.5399198172336</v>
      </c>
    </row>
    <row r="22" spans="1:12" ht="15.75">
      <c r="A22" s="173"/>
      <c r="B22" s="923" t="s">
        <v>567</v>
      </c>
      <c r="C22" s="923" t="str">
        <f>C21</f>
        <v>Year 2023</v>
      </c>
      <c r="D22" s="923"/>
      <c r="E22" s="947">
        <f>+E21</f>
        <v>-7542.8166929437821</v>
      </c>
      <c r="F22" s="947"/>
      <c r="G22" s="1445">
        <f>+G21</f>
        <v>2.7700000000000003E-3</v>
      </c>
      <c r="H22" s="1316">
        <f t="shared" ref="H22:H32" si="0">+H21-1</f>
        <v>11</v>
      </c>
      <c r="I22" s="947">
        <f t="shared" ref="I22:I32" si="1">G22*E22*H22*-1</f>
        <v>229.82962463399707</v>
      </c>
      <c r="J22" s="947"/>
      <c r="K22" s="947"/>
      <c r="L22" s="947">
        <f t="shared" ref="L22:L32" si="2">(-I22+E22)*-1</f>
        <v>7772.646317577779</v>
      </c>
    </row>
    <row r="23" spans="1:12" ht="15.75">
      <c r="A23" s="173"/>
      <c r="B23" s="923" t="s">
        <v>568</v>
      </c>
      <c r="C23" s="923" t="str">
        <f>C21</f>
        <v>Year 2023</v>
      </c>
      <c r="D23" s="923"/>
      <c r="E23" s="947">
        <f t="shared" ref="E23:E32" si="3">+E22</f>
        <v>-7542.8166929437821</v>
      </c>
      <c r="F23" s="947"/>
      <c r="G23" s="1445">
        <f t="shared" ref="G23:G32" si="4">+G22</f>
        <v>2.7700000000000003E-3</v>
      </c>
      <c r="H23" s="1316">
        <f t="shared" si="0"/>
        <v>10</v>
      </c>
      <c r="I23" s="947">
        <f t="shared" si="1"/>
        <v>208.93602239454279</v>
      </c>
      <c r="J23" s="947"/>
      <c r="K23" s="947"/>
      <c r="L23" s="947">
        <f t="shared" si="2"/>
        <v>7751.7527153383253</v>
      </c>
    </row>
    <row r="24" spans="1:12" ht="15.75">
      <c r="A24" s="173"/>
      <c r="B24" s="923" t="s">
        <v>569</v>
      </c>
      <c r="C24" s="923" t="str">
        <f>C21</f>
        <v>Year 2023</v>
      </c>
      <c r="D24" s="923"/>
      <c r="E24" s="947">
        <f t="shared" si="3"/>
        <v>-7542.8166929437821</v>
      </c>
      <c r="F24" s="947"/>
      <c r="G24" s="1445">
        <f t="shared" si="4"/>
        <v>2.7700000000000003E-3</v>
      </c>
      <c r="H24" s="1316">
        <f t="shared" si="0"/>
        <v>9</v>
      </c>
      <c r="I24" s="947">
        <f t="shared" si="1"/>
        <v>188.04242015508851</v>
      </c>
      <c r="J24" s="947"/>
      <c r="K24" s="947"/>
      <c r="L24" s="947">
        <f t="shared" si="2"/>
        <v>7730.8591130988707</v>
      </c>
    </row>
    <row r="25" spans="1:12" ht="15.75">
      <c r="A25" s="173"/>
      <c r="B25" s="923" t="s">
        <v>570</v>
      </c>
      <c r="C25" s="923" t="str">
        <f>C21</f>
        <v>Year 2023</v>
      </c>
      <c r="D25" s="923"/>
      <c r="E25" s="947">
        <f t="shared" si="3"/>
        <v>-7542.8166929437821</v>
      </c>
      <c r="F25" s="947"/>
      <c r="G25" s="1445">
        <f t="shared" si="4"/>
        <v>2.7700000000000003E-3</v>
      </c>
      <c r="H25" s="1316">
        <f t="shared" si="0"/>
        <v>8</v>
      </c>
      <c r="I25" s="947">
        <f t="shared" si="1"/>
        <v>167.14881791563423</v>
      </c>
      <c r="J25" s="947"/>
      <c r="K25" s="947"/>
      <c r="L25" s="947">
        <f t="shared" si="2"/>
        <v>7709.9655108594161</v>
      </c>
    </row>
    <row r="26" spans="1:12" ht="15.75">
      <c r="A26" s="173"/>
      <c r="B26" s="923" t="s">
        <v>571</v>
      </c>
      <c r="C26" s="923" t="str">
        <f>C21</f>
        <v>Year 2023</v>
      </c>
      <c r="D26" s="923"/>
      <c r="E26" s="947">
        <f t="shared" si="3"/>
        <v>-7542.8166929437821</v>
      </c>
      <c r="F26" s="947"/>
      <c r="G26" s="1445">
        <f t="shared" si="4"/>
        <v>2.7700000000000003E-3</v>
      </c>
      <c r="H26" s="1316">
        <f t="shared" si="0"/>
        <v>7</v>
      </c>
      <c r="I26" s="947">
        <f t="shared" si="1"/>
        <v>146.25521567617994</v>
      </c>
      <c r="J26" s="947"/>
      <c r="K26" s="947"/>
      <c r="L26" s="947">
        <f t="shared" si="2"/>
        <v>7689.0719086199624</v>
      </c>
    </row>
    <row r="27" spans="1:12" ht="15.75">
      <c r="A27" s="173"/>
      <c r="B27" s="923" t="s">
        <v>572</v>
      </c>
      <c r="C27" s="923" t="str">
        <f>C21</f>
        <v>Year 2023</v>
      </c>
      <c r="D27" s="923"/>
      <c r="E27" s="947">
        <f t="shared" si="3"/>
        <v>-7542.8166929437821</v>
      </c>
      <c r="F27" s="947"/>
      <c r="G27" s="1445">
        <f t="shared" si="4"/>
        <v>2.7700000000000003E-3</v>
      </c>
      <c r="H27" s="1316">
        <f t="shared" si="0"/>
        <v>6</v>
      </c>
      <c r="I27" s="947">
        <f t="shared" si="1"/>
        <v>125.36161343672566</v>
      </c>
      <c r="J27" s="947"/>
      <c r="K27" s="947"/>
      <c r="L27" s="947">
        <f t="shared" si="2"/>
        <v>7668.1783063805078</v>
      </c>
    </row>
    <row r="28" spans="1:12" ht="15.75">
      <c r="A28" s="173"/>
      <c r="B28" s="923" t="s">
        <v>573</v>
      </c>
      <c r="C28" s="923" t="str">
        <f>C21</f>
        <v>Year 2023</v>
      </c>
      <c r="D28" s="923"/>
      <c r="E28" s="947">
        <f t="shared" si="3"/>
        <v>-7542.8166929437821</v>
      </c>
      <c r="F28" s="947"/>
      <c r="G28" s="1445">
        <f t="shared" si="4"/>
        <v>2.7700000000000003E-3</v>
      </c>
      <c r="H28" s="1316">
        <f t="shared" si="0"/>
        <v>5</v>
      </c>
      <c r="I28" s="947">
        <f t="shared" si="1"/>
        <v>104.46801119727139</v>
      </c>
      <c r="J28" s="947"/>
      <c r="K28" s="947"/>
      <c r="L28" s="947">
        <f t="shared" si="2"/>
        <v>7647.2847041410532</v>
      </c>
    </row>
    <row r="29" spans="1:12" ht="15.75">
      <c r="A29" s="173"/>
      <c r="B29" s="923" t="s">
        <v>574</v>
      </c>
      <c r="C29" s="923" t="str">
        <f>C21</f>
        <v>Year 2023</v>
      </c>
      <c r="D29" s="923"/>
      <c r="E29" s="947">
        <f t="shared" si="3"/>
        <v>-7542.8166929437821</v>
      </c>
      <c r="F29" s="947"/>
      <c r="G29" s="1445">
        <f t="shared" si="4"/>
        <v>2.7700000000000003E-3</v>
      </c>
      <c r="H29" s="1316">
        <f t="shared" si="0"/>
        <v>4</v>
      </c>
      <c r="I29" s="947">
        <f t="shared" si="1"/>
        <v>83.574408957817113</v>
      </c>
      <c r="J29" s="947"/>
      <c r="K29" s="947"/>
      <c r="L29" s="947">
        <f t="shared" si="2"/>
        <v>7626.3911019015995</v>
      </c>
    </row>
    <row r="30" spans="1:12" ht="15.75">
      <c r="A30" s="173"/>
      <c r="B30" s="923" t="s">
        <v>575</v>
      </c>
      <c r="C30" s="923" t="str">
        <f>C21</f>
        <v>Year 2023</v>
      </c>
      <c r="D30" s="923"/>
      <c r="E30" s="947">
        <f t="shared" si="3"/>
        <v>-7542.8166929437821</v>
      </c>
      <c r="F30" s="947"/>
      <c r="G30" s="1445">
        <f t="shared" si="4"/>
        <v>2.7700000000000003E-3</v>
      </c>
      <c r="H30" s="1316">
        <f t="shared" si="0"/>
        <v>3</v>
      </c>
      <c r="I30" s="947">
        <f t="shared" si="1"/>
        <v>62.680806718362831</v>
      </c>
      <c r="J30" s="947"/>
      <c r="K30" s="947"/>
      <c r="L30" s="947">
        <f t="shared" si="2"/>
        <v>7605.4974996621449</v>
      </c>
    </row>
    <row r="31" spans="1:12" ht="15.75">
      <c r="A31" s="173"/>
      <c r="B31" s="923" t="s">
        <v>576</v>
      </c>
      <c r="C31" s="923" t="str">
        <f>C21</f>
        <v>Year 2023</v>
      </c>
      <c r="D31" s="923"/>
      <c r="E31" s="947">
        <f t="shared" si="3"/>
        <v>-7542.8166929437821</v>
      </c>
      <c r="F31" s="947"/>
      <c r="G31" s="1445">
        <f t="shared" si="4"/>
        <v>2.7700000000000003E-3</v>
      </c>
      <c r="H31" s="1316">
        <f t="shared" si="0"/>
        <v>2</v>
      </c>
      <c r="I31" s="947">
        <f t="shared" si="1"/>
        <v>41.787204478908556</v>
      </c>
      <c r="J31" s="947"/>
      <c r="K31" s="947"/>
      <c r="L31" s="947">
        <f t="shared" si="2"/>
        <v>7584.6038974226904</v>
      </c>
    </row>
    <row r="32" spans="1:12" ht="15.75">
      <c r="A32" s="173"/>
      <c r="B32" s="923" t="s">
        <v>577</v>
      </c>
      <c r="C32" s="923" t="str">
        <f>C21</f>
        <v>Year 2023</v>
      </c>
      <c r="D32" s="923"/>
      <c r="E32" s="947">
        <f t="shared" si="3"/>
        <v>-7542.8166929437821</v>
      </c>
      <c r="F32" s="947"/>
      <c r="G32" s="1445">
        <f t="shared" si="4"/>
        <v>2.7700000000000003E-3</v>
      </c>
      <c r="H32" s="1316">
        <f t="shared" si="0"/>
        <v>1</v>
      </c>
      <c r="I32" s="949">
        <f t="shared" si="1"/>
        <v>20.893602239454278</v>
      </c>
      <c r="J32" s="947"/>
      <c r="K32" s="947"/>
      <c r="L32" s="947">
        <f t="shared" si="2"/>
        <v>7563.7102951832367</v>
      </c>
    </row>
    <row r="33" spans="1:12" ht="15.75">
      <c r="A33" s="173"/>
      <c r="B33" s="923"/>
      <c r="C33" s="923"/>
      <c r="D33" s="923"/>
      <c r="E33" s="947"/>
      <c r="F33" s="947"/>
      <c r="G33" s="1445"/>
      <c r="H33" s="934"/>
      <c r="I33" s="947">
        <f>SUM(I21:I32)</f>
        <v>1629.7009746774336</v>
      </c>
      <c r="J33" s="947"/>
      <c r="K33" s="947"/>
      <c r="L33" s="950">
        <f>SUM(L21:L32)</f>
        <v>92143.501290002809</v>
      </c>
    </row>
    <row r="34" spans="1:12" ht="15.75">
      <c r="A34" s="173"/>
      <c r="B34" s="923"/>
      <c r="C34" s="923"/>
      <c r="D34" s="923"/>
      <c r="E34" s="947"/>
      <c r="F34" s="947"/>
      <c r="G34" s="1445"/>
      <c r="H34" s="934"/>
      <c r="I34" s="947"/>
      <c r="J34" s="947" t="s">
        <v>406</v>
      </c>
      <c r="K34" s="947"/>
      <c r="L34" s="394"/>
    </row>
    <row r="35" spans="1:12" ht="15.75">
      <c r="A35" s="173"/>
      <c r="B35" s="923"/>
      <c r="C35" s="923"/>
      <c r="D35" s="923"/>
      <c r="E35" s="933"/>
      <c r="F35" s="933"/>
      <c r="G35" s="1445"/>
      <c r="H35" s="934"/>
      <c r="I35" s="951" t="s">
        <v>578</v>
      </c>
      <c r="J35" s="947"/>
      <c r="K35" s="947"/>
      <c r="L35" s="947"/>
    </row>
    <row r="36" spans="1:12" ht="15.75">
      <c r="A36" s="173"/>
      <c r="B36" s="923" t="s">
        <v>579</v>
      </c>
      <c r="C36" s="923" t="str">
        <f>"Year "&amp;TCOS!L4-1</f>
        <v>Year 2024</v>
      </c>
      <c r="D36" s="923"/>
      <c r="E36" s="933">
        <f>L33</f>
        <v>92143.501290002809</v>
      </c>
      <c r="F36" s="933"/>
      <c r="G36" s="1445">
        <v>4.239999999999999E-3</v>
      </c>
      <c r="H36" s="1316">
        <v>12</v>
      </c>
      <c r="I36" s="947">
        <f>+H36*G36*E36</f>
        <v>4688.261345635342</v>
      </c>
      <c r="J36" s="947"/>
      <c r="K36" s="947"/>
      <c r="L36" s="950">
        <f>+E36+I36</f>
        <v>96831.762635638152</v>
      </c>
    </row>
    <row r="37" spans="1:12" ht="15.75">
      <c r="A37" s="173"/>
      <c r="B37" s="923"/>
      <c r="C37" s="923"/>
      <c r="D37" s="923"/>
      <c r="E37" s="933"/>
      <c r="F37" s="933"/>
      <c r="G37" s="1445"/>
      <c r="H37" s="923"/>
      <c r="I37" s="947"/>
      <c r="J37" s="947"/>
      <c r="K37" s="947"/>
      <c r="L37" s="947"/>
    </row>
    <row r="38" spans="1:12" ht="15.75">
      <c r="A38" s="173"/>
      <c r="B38" s="952" t="s">
        <v>580</v>
      </c>
      <c r="C38" s="923"/>
      <c r="D38" s="923"/>
      <c r="E38" s="947"/>
      <c r="F38" s="947"/>
      <c r="G38" s="1445"/>
      <c r="H38" s="923"/>
      <c r="I38" s="951" t="s">
        <v>565</v>
      </c>
      <c r="J38" s="947"/>
      <c r="K38" s="947"/>
      <c r="L38" s="947"/>
    </row>
    <row r="39" spans="1:12" ht="15.75">
      <c r="A39" s="173"/>
      <c r="B39" s="923" t="s">
        <v>566</v>
      </c>
      <c r="C39" s="923" t="str">
        <f>"Year "&amp;TCOS!L4</f>
        <v>Year 2025</v>
      </c>
      <c r="D39" s="923"/>
      <c r="E39" s="953">
        <f>-L36</f>
        <v>-96831.762635638152</v>
      </c>
      <c r="F39" s="933"/>
      <c r="G39" s="1445">
        <f>G15</f>
        <v>6.4749999999999981E-3</v>
      </c>
      <c r="H39" s="923"/>
      <c r="I39" s="947">
        <f xml:space="preserve"> -G39*E39</f>
        <v>626.98566306575685</v>
      </c>
      <c r="J39" s="947">
        <f>PMT(G39,12,L$36)</f>
        <v>-8412.9489261930121</v>
      </c>
      <c r="K39" s="947"/>
      <c r="L39" s="947">
        <f>(+E39+E39*G39-J39)*-1</f>
        <v>89045.799372510897</v>
      </c>
    </row>
    <row r="40" spans="1:12" ht="15.75">
      <c r="A40" s="173"/>
      <c r="B40" s="923" t="s">
        <v>567</v>
      </c>
      <c r="C40" s="923" t="str">
        <f>+C39</f>
        <v>Year 2025</v>
      </c>
      <c r="D40" s="923"/>
      <c r="E40" s="933">
        <f>-L39</f>
        <v>-89045.799372510897</v>
      </c>
      <c r="F40" s="933"/>
      <c r="G40" s="1445">
        <f>+G39</f>
        <v>6.4749999999999981E-3</v>
      </c>
      <c r="H40" s="923"/>
      <c r="I40" s="947">
        <f xml:space="preserve"> -G40*E40</f>
        <v>576.57155093700794</v>
      </c>
      <c r="J40" s="947">
        <f>J39</f>
        <v>-8412.9489261930121</v>
      </c>
      <c r="K40" s="947"/>
      <c r="L40" s="947">
        <f t="shared" ref="L40:L50" si="5">(+E40+E40*G40-J40)*-1</f>
        <v>81209.421997254889</v>
      </c>
    </row>
    <row r="41" spans="1:12" ht="15.75">
      <c r="A41" s="173"/>
      <c r="B41" s="923" t="s">
        <v>568</v>
      </c>
      <c r="C41" s="923" t="str">
        <f>+C40</f>
        <v>Year 2025</v>
      </c>
      <c r="D41" s="923"/>
      <c r="E41" s="933">
        <f t="shared" ref="E41:E50" si="6">-L40</f>
        <v>-81209.421997254889</v>
      </c>
      <c r="F41" s="933"/>
      <c r="G41" s="1445">
        <f t="shared" ref="G41:G50" si="7">+G40</f>
        <v>6.4749999999999981E-3</v>
      </c>
      <c r="H41" s="923"/>
      <c r="I41" s="947">
        <f t="shared" ref="I41:I50" si="8" xml:space="preserve"> -G41*E41</f>
        <v>525.83100743222531</v>
      </c>
      <c r="J41" s="947">
        <f t="shared" ref="J41:J50" si="9">J40</f>
        <v>-8412.9489261930121</v>
      </c>
      <c r="K41" s="947"/>
      <c r="L41" s="947">
        <f t="shared" si="5"/>
        <v>73322.304078494097</v>
      </c>
    </row>
    <row r="42" spans="1:12" ht="15.75">
      <c r="A42" s="173"/>
      <c r="B42" s="923" t="s">
        <v>569</v>
      </c>
      <c r="C42" s="923" t="str">
        <f>+C41</f>
        <v>Year 2025</v>
      </c>
      <c r="D42" s="923"/>
      <c r="E42" s="933">
        <f t="shared" si="6"/>
        <v>-73322.304078494097</v>
      </c>
      <c r="F42" s="933"/>
      <c r="G42" s="1445">
        <f t="shared" si="7"/>
        <v>6.4749999999999981E-3</v>
      </c>
      <c r="H42" s="923"/>
      <c r="I42" s="947">
        <f t="shared" si="8"/>
        <v>474.76191890824913</v>
      </c>
      <c r="J42" s="947">
        <f t="shared" si="9"/>
        <v>-8412.9489261930121</v>
      </c>
      <c r="K42" s="947"/>
      <c r="L42" s="947">
        <f t="shared" si="5"/>
        <v>65384.11707120933</v>
      </c>
    </row>
    <row r="43" spans="1:12" ht="15.75">
      <c r="A43" s="173"/>
      <c r="B43" s="923" t="s">
        <v>570</v>
      </c>
      <c r="C43" s="923" t="str">
        <f>+C42</f>
        <v>Year 2025</v>
      </c>
      <c r="D43" s="923"/>
      <c r="E43" s="933">
        <f t="shared" si="6"/>
        <v>-65384.11707120933</v>
      </c>
      <c r="F43" s="933"/>
      <c r="G43" s="1445">
        <f t="shared" si="7"/>
        <v>6.4749999999999981E-3</v>
      </c>
      <c r="H43" s="923"/>
      <c r="I43" s="947">
        <f t="shared" si="8"/>
        <v>423.3621580360803</v>
      </c>
      <c r="J43" s="947">
        <f>J42</f>
        <v>-8412.9489261930121</v>
      </c>
      <c r="K43" s="947"/>
      <c r="L43" s="947">
        <f t="shared" si="5"/>
        <v>57394.530303052394</v>
      </c>
    </row>
    <row r="44" spans="1:12" ht="15.75">
      <c r="A44" s="173"/>
      <c r="B44" s="923" t="s">
        <v>571</v>
      </c>
      <c r="C44" s="923" t="str">
        <f>C43</f>
        <v>Year 2025</v>
      </c>
      <c r="D44" s="394"/>
      <c r="E44" s="933">
        <f t="shared" si="6"/>
        <v>-57394.530303052394</v>
      </c>
      <c r="F44" s="933"/>
      <c r="G44" s="1445">
        <f t="shared" si="7"/>
        <v>6.4749999999999981E-3</v>
      </c>
      <c r="H44" s="923"/>
      <c r="I44" s="947">
        <f t="shared" si="8"/>
        <v>371.62958371226415</v>
      </c>
      <c r="J44" s="947">
        <f t="shared" si="9"/>
        <v>-8412.9489261930121</v>
      </c>
      <c r="K44" s="947"/>
      <c r="L44" s="947">
        <f t="shared" si="5"/>
        <v>49353.210960571647</v>
      </c>
    </row>
    <row r="45" spans="1:12" ht="15.75">
      <c r="A45" s="173"/>
      <c r="B45" s="923" t="s">
        <v>572</v>
      </c>
      <c r="C45" s="923" t="str">
        <f t="shared" ref="C45:C50" si="10">+C44</f>
        <v>Year 2025</v>
      </c>
      <c r="D45" s="923"/>
      <c r="E45" s="933">
        <f t="shared" si="6"/>
        <v>-49353.210960571647</v>
      </c>
      <c r="F45" s="933"/>
      <c r="G45" s="1445">
        <f t="shared" si="7"/>
        <v>6.4749999999999981E-3</v>
      </c>
      <c r="H45" s="923"/>
      <c r="I45" s="947">
        <f t="shared" si="8"/>
        <v>319.56204096970134</v>
      </c>
      <c r="J45" s="947">
        <f t="shared" si="9"/>
        <v>-8412.9489261930121</v>
      </c>
      <c r="K45" s="947"/>
      <c r="L45" s="947">
        <f t="shared" si="5"/>
        <v>41259.824075348333</v>
      </c>
    </row>
    <row r="46" spans="1:12" ht="15.75">
      <c r="A46" s="173"/>
      <c r="B46" s="923" t="s">
        <v>573</v>
      </c>
      <c r="C46" s="923" t="str">
        <f t="shared" si="10"/>
        <v>Year 2025</v>
      </c>
      <c r="D46" s="923"/>
      <c r="E46" s="933">
        <f t="shared" si="6"/>
        <v>-41259.824075348333</v>
      </c>
      <c r="F46" s="933"/>
      <c r="G46" s="1445">
        <f t="shared" si="7"/>
        <v>6.4749999999999981E-3</v>
      </c>
      <c r="H46" s="923"/>
      <c r="I46" s="947">
        <f t="shared" si="8"/>
        <v>267.15736088788037</v>
      </c>
      <c r="J46" s="947">
        <f t="shared" si="9"/>
        <v>-8412.9489261930121</v>
      </c>
      <c r="K46" s="947"/>
      <c r="L46" s="947">
        <f t="shared" si="5"/>
        <v>33114.032510043202</v>
      </c>
    </row>
    <row r="47" spans="1:12" ht="15.75">
      <c r="A47" s="173"/>
      <c r="B47" s="923" t="s">
        <v>574</v>
      </c>
      <c r="C47" s="923" t="str">
        <f t="shared" si="10"/>
        <v>Year 2025</v>
      </c>
      <c r="D47" s="923"/>
      <c r="E47" s="933">
        <f t="shared" si="6"/>
        <v>-33114.032510043202</v>
      </c>
      <c r="F47" s="933"/>
      <c r="G47" s="1445">
        <f t="shared" si="7"/>
        <v>6.4749999999999981E-3</v>
      </c>
      <c r="H47" s="923"/>
      <c r="I47" s="947">
        <f t="shared" si="8"/>
        <v>214.41336050252966</v>
      </c>
      <c r="J47" s="947">
        <f>J46</f>
        <v>-8412.9489261930121</v>
      </c>
      <c r="K47" s="947"/>
      <c r="L47" s="947">
        <f t="shared" si="5"/>
        <v>24915.496944352715</v>
      </c>
    </row>
    <row r="48" spans="1:12" ht="15.75">
      <c r="A48" s="173"/>
      <c r="B48" s="923" t="s">
        <v>575</v>
      </c>
      <c r="C48" s="923" t="str">
        <f t="shared" si="10"/>
        <v>Year 2025</v>
      </c>
      <c r="D48" s="923"/>
      <c r="E48" s="933">
        <f t="shared" si="6"/>
        <v>-24915.496944352715</v>
      </c>
      <c r="F48" s="933"/>
      <c r="G48" s="1445">
        <f t="shared" si="7"/>
        <v>6.4749999999999981E-3</v>
      </c>
      <c r="H48" s="923"/>
      <c r="I48" s="947">
        <f t="shared" si="8"/>
        <v>161.32784271468378</v>
      </c>
      <c r="J48" s="947">
        <f t="shared" si="9"/>
        <v>-8412.9489261930121</v>
      </c>
      <c r="K48" s="947"/>
      <c r="L48" s="947">
        <f t="shared" si="5"/>
        <v>16663.875860874388</v>
      </c>
    </row>
    <row r="49" spans="1:12" ht="15.75">
      <c r="A49" s="173"/>
      <c r="B49" s="923" t="s">
        <v>576</v>
      </c>
      <c r="C49" s="923" t="str">
        <f t="shared" si="10"/>
        <v>Year 2025</v>
      </c>
      <c r="D49" s="923"/>
      <c r="E49" s="933">
        <f t="shared" si="6"/>
        <v>-16663.875860874388</v>
      </c>
      <c r="F49" s="933"/>
      <c r="G49" s="1445">
        <f t="shared" si="7"/>
        <v>6.4749999999999981E-3</v>
      </c>
      <c r="H49" s="923"/>
      <c r="I49" s="947">
        <f t="shared" si="8"/>
        <v>107.89859619916163</v>
      </c>
      <c r="J49" s="947">
        <f t="shared" si="9"/>
        <v>-8412.9489261930121</v>
      </c>
      <c r="K49" s="947"/>
      <c r="L49" s="947">
        <f t="shared" si="5"/>
        <v>8358.8255308805365</v>
      </c>
    </row>
    <row r="50" spans="1:12" ht="15.75">
      <c r="A50" s="173"/>
      <c r="B50" s="923" t="s">
        <v>577</v>
      </c>
      <c r="C50" s="923" t="str">
        <f t="shared" si="10"/>
        <v>Year 2025</v>
      </c>
      <c r="D50" s="923"/>
      <c r="E50" s="933">
        <f t="shared" si="6"/>
        <v>-8358.8255308805365</v>
      </c>
      <c r="F50" s="933"/>
      <c r="G50" s="1445">
        <f t="shared" si="7"/>
        <v>6.4749999999999981E-3</v>
      </c>
      <c r="H50" s="923"/>
      <c r="I50" s="949">
        <f t="shared" si="8"/>
        <v>54.123395312451457</v>
      </c>
      <c r="J50" s="947">
        <f t="shared" si="9"/>
        <v>-8412.9489261930121</v>
      </c>
      <c r="K50" s="947"/>
      <c r="L50" s="947">
        <f t="shared" si="5"/>
        <v>-2.3646862246096134E-11</v>
      </c>
    </row>
    <row r="51" spans="1:12" ht="15.75">
      <c r="A51" s="173"/>
      <c r="B51" s="923"/>
      <c r="C51" s="923"/>
      <c r="D51" s="923"/>
      <c r="E51" s="933"/>
      <c r="F51" s="933"/>
      <c r="G51" s="948"/>
      <c r="H51" s="923"/>
      <c r="I51" s="947">
        <f>SUM(I39:I50)</f>
        <v>4123.6244786779916</v>
      </c>
      <c r="J51" s="947"/>
      <c r="K51" s="947"/>
      <c r="L51" s="947"/>
    </row>
    <row r="52" spans="1:12" ht="15">
      <c r="A52" s="173"/>
      <c r="B52" s="394"/>
      <c r="C52" s="394"/>
      <c r="D52" s="394"/>
      <c r="E52" s="394"/>
      <c r="F52" s="394"/>
      <c r="G52" s="394"/>
      <c r="H52" s="394"/>
      <c r="I52" s="394"/>
      <c r="J52" s="954"/>
      <c r="K52" s="394"/>
      <c r="L52" s="394"/>
    </row>
    <row r="53" spans="1:12" ht="15.75">
      <c r="A53" s="173"/>
      <c r="B53" s="923" t="s">
        <v>581</v>
      </c>
      <c r="C53" s="394"/>
      <c r="D53" s="394"/>
      <c r="E53" s="394"/>
      <c r="F53" s="394"/>
      <c r="G53" s="394"/>
      <c r="H53" s="394"/>
      <c r="I53" s="394"/>
      <c r="J53" s="955">
        <f>(SUM(J39:J50)*-1)</f>
        <v>100955.38711431615</v>
      </c>
      <c r="K53" s="394"/>
      <c r="L53" s="394"/>
    </row>
    <row r="54" spans="1:12" ht="15.75">
      <c r="A54" s="173"/>
      <c r="B54" s="923" t="s">
        <v>582</v>
      </c>
      <c r="C54" s="394"/>
      <c r="D54" s="394"/>
      <c r="E54" s="394"/>
      <c r="F54" s="394"/>
      <c r="G54" s="394"/>
      <c r="H54" s="394"/>
      <c r="I54" s="394"/>
      <c r="J54" s="956">
        <f>+I10</f>
        <v>-90513.800315325381</v>
      </c>
      <c r="K54" s="394"/>
      <c r="L54" s="394"/>
    </row>
    <row r="55" spans="1:12" ht="15.75">
      <c r="A55" s="173"/>
      <c r="B55" s="923" t="s">
        <v>583</v>
      </c>
      <c r="C55" s="394"/>
      <c r="D55" s="394"/>
      <c r="E55" s="394"/>
      <c r="F55" s="394"/>
      <c r="G55" s="394"/>
      <c r="H55" s="394"/>
      <c r="I55" s="394"/>
      <c r="J55" s="955">
        <f>(J53+J54)</f>
        <v>10441.586798990771</v>
      </c>
      <c r="K55" s="394"/>
      <c r="L55" s="394"/>
    </row>
    <row r="56" spans="1:12">
      <c r="A56" s="173"/>
      <c r="B56" s="393"/>
      <c r="C56" s="393"/>
      <c r="D56" s="393"/>
      <c r="E56" s="393"/>
      <c r="F56" s="393"/>
      <c r="G56" s="393"/>
      <c r="H56" s="393"/>
      <c r="I56" s="393"/>
      <c r="J56" s="393"/>
      <c r="K56" s="393"/>
      <c r="L56" s="393"/>
    </row>
    <row r="57" spans="1:12" ht="63.75" customHeight="1">
      <c r="A57" s="173"/>
      <c r="B57" s="1568" t="s">
        <v>584</v>
      </c>
      <c r="C57" s="1568"/>
      <c r="D57" s="1568"/>
      <c r="E57" s="1568"/>
      <c r="F57" s="1568"/>
      <c r="G57" s="1568"/>
      <c r="H57" s="1568"/>
      <c r="I57" s="1568"/>
      <c r="J57" s="1568"/>
      <c r="K57" s="1568"/>
      <c r="L57" s="1568"/>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0" zoomScale="75" zoomScaleNormal="75" workbookViewId="0">
      <selection activeCell="D45" sqref="D4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row>
    <row r="2" spans="1:12" ht="15.75">
      <c r="A2" s="1006"/>
    </row>
    <row r="3" spans="1:12" ht="15">
      <c r="A3" s="1482" t="str">
        <f>TCOS!$F$5</f>
        <v>AEPTCo subsidiaries in PJM</v>
      </c>
      <c r="B3" s="1482" t="str">
        <f>TCOS!$F$5</f>
        <v>AEPTCo subsidiaries in PJM</v>
      </c>
      <c r="C3" s="1482" t="str">
        <f>TCOS!$F$5</f>
        <v>AEPTCo subsidiaries in PJM</v>
      </c>
      <c r="D3" s="1482" t="str">
        <f>TCOS!$F$5</f>
        <v>AEPTCo subsidiaries in PJM</v>
      </c>
      <c r="E3" s="1482" t="str">
        <f>TCOS!$F$5</f>
        <v>AEPTCo subsidiaries in PJM</v>
      </c>
      <c r="F3" s="1482" t="str">
        <f>TCOS!$F$5</f>
        <v>AEPTCo subsidiaries in PJM</v>
      </c>
      <c r="G3" s="1482" t="str">
        <f>TCOS!$F$5</f>
        <v>AEPTCo subsidiaries in PJM</v>
      </c>
      <c r="H3" s="1482" t="str">
        <f>TCOS!$F$5</f>
        <v>AEPTCo subsidiaries in PJM</v>
      </c>
      <c r="I3" s="1482" t="str">
        <f>TCOS!$F$5</f>
        <v>AEPTCo subsidiaries in PJM</v>
      </c>
      <c r="J3" s="21"/>
    </row>
    <row r="4" spans="1:12" ht="15">
      <c r="A4" s="1475" t="str">
        <f>"Cost of Service Formula Rate Using Actual/Projected FF1 Balances"</f>
        <v>Cost of Service Formula Rate Using Actual/Projected FF1 Balances</v>
      </c>
      <c r="B4" s="1475"/>
      <c r="C4" s="1475"/>
      <c r="D4" s="1475"/>
      <c r="E4" s="1475"/>
      <c r="F4" s="1475"/>
      <c r="G4" s="1475"/>
      <c r="H4" s="1475"/>
      <c r="I4" s="1475"/>
      <c r="J4" s="53"/>
    </row>
    <row r="5" spans="1:12" ht="15">
      <c r="A5" s="1475" t="s">
        <v>262</v>
      </c>
      <c r="B5" s="1475"/>
      <c r="C5" s="1475"/>
      <c r="D5" s="1475"/>
      <c r="E5" s="1475"/>
      <c r="F5" s="1475"/>
      <c r="G5" s="1475"/>
      <c r="H5" s="1475"/>
      <c r="I5" s="1475"/>
      <c r="J5" s="52"/>
    </row>
    <row r="6" spans="1:12" ht="15">
      <c r="A6" s="1485" t="str">
        <f>TCOS!F9</f>
        <v>West Virginia Transmission Company</v>
      </c>
      <c r="B6" s="1485"/>
      <c r="C6" s="1485"/>
      <c r="D6" s="1485"/>
      <c r="E6" s="1485"/>
      <c r="F6" s="1485"/>
      <c r="G6" s="1485"/>
      <c r="H6" s="1485"/>
      <c r="I6" s="1485"/>
      <c r="J6" s="3"/>
    </row>
    <row r="7" spans="1:12">
      <c r="C7" s="17"/>
      <c r="D7" s="17"/>
    </row>
    <row r="8" spans="1:12" ht="15">
      <c r="A8" s="977"/>
      <c r="B8" s="988"/>
      <c r="C8" s="992" t="s">
        <v>452</v>
      </c>
      <c r="D8" s="992" t="s">
        <v>453</v>
      </c>
      <c r="E8" s="992" t="s">
        <v>454</v>
      </c>
      <c r="F8" s="977"/>
      <c r="G8" s="992" t="s">
        <v>455</v>
      </c>
      <c r="H8" s="977"/>
      <c r="I8" s="992" t="s">
        <v>375</v>
      </c>
      <c r="J8" s="5"/>
      <c r="K8"/>
      <c r="L8"/>
    </row>
    <row r="9" spans="1:12" ht="15">
      <c r="A9" s="976"/>
      <c r="B9" s="988"/>
      <c r="C9" s="977"/>
      <c r="D9" s="977"/>
      <c r="E9" s="977"/>
      <c r="F9" s="977"/>
      <c r="G9" s="977"/>
      <c r="H9" s="977"/>
      <c r="I9" s="993"/>
      <c r="J9"/>
      <c r="K9"/>
      <c r="L9"/>
    </row>
    <row r="10" spans="1:12" ht="12.75" customHeight="1">
      <c r="A10" s="991" t="s">
        <v>459</v>
      </c>
      <c r="B10" s="988"/>
      <c r="C10" s="994"/>
      <c r="D10" s="994"/>
      <c r="E10" s="1483" t="str">
        <f>"Balance @    December 31, "&amp;TCOS!L4&amp;""</f>
        <v>Balance @    December 31, 2025</v>
      </c>
      <c r="F10" s="995"/>
      <c r="G10" s="1483" t="str">
        <f>"Balance @     December 31, "&amp;TCOS!L4-1&amp;""</f>
        <v>Balance @     December 31, 2024</v>
      </c>
      <c r="H10" s="995"/>
      <c r="I10" s="1486" t="str">
        <f>"Average Balance for "&amp;TCOS!L4&amp;""</f>
        <v>Average Balance for 2025</v>
      </c>
      <c r="J10"/>
      <c r="K10"/>
      <c r="L10"/>
    </row>
    <row r="11" spans="1:12" ht="15">
      <c r="A11" s="998" t="s">
        <v>397</v>
      </c>
      <c r="B11" s="996"/>
      <c r="C11" s="991" t="s">
        <v>457</v>
      </c>
      <c r="D11" s="991" t="s">
        <v>488</v>
      </c>
      <c r="E11" s="1484"/>
      <c r="F11" s="997"/>
      <c r="G11" s="1484"/>
      <c r="H11" s="997"/>
      <c r="I11" s="1484"/>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91"/>
      <c r="H16"/>
    </row>
    <row r="17" spans="1:9" ht="14.25">
      <c r="A17" s="51">
        <f>+A15+1</f>
        <v>2</v>
      </c>
      <c r="C17" s="985" t="s">
        <v>301</v>
      </c>
      <c r="D17" s="989" t="s">
        <v>303</v>
      </c>
      <c r="E17" s="975">
        <v>0</v>
      </c>
      <c r="F17" s="980"/>
      <c r="G17" s="975">
        <v>0</v>
      </c>
      <c r="H17" s="981"/>
      <c r="I17" s="982">
        <f>IF(G17="",0,(E17+G17)/2)</f>
        <v>0</v>
      </c>
    </row>
    <row r="18" spans="1:9" ht="14.25">
      <c r="A18" s="51">
        <f>+A17+1</f>
        <v>3</v>
      </c>
      <c r="C18" s="985" t="s">
        <v>305</v>
      </c>
      <c r="D18" s="1247" t="str">
        <f>"WS B-1 - Actual Stmt. AF Ln. " &amp;'WS B-1 - Actual Stmt. AF'!A24&amp;" (Note 1)"</f>
        <v>WS B-1 - Actual Stmt. AF Ln. 4 (Note 1)</v>
      </c>
      <c r="E18" s="975">
        <v>0</v>
      </c>
      <c r="F18" s="977"/>
      <c r="G18" s="975">
        <v>0</v>
      </c>
      <c r="H18" s="981"/>
      <c r="I18" s="982">
        <f>IF(G18="",0,(E18+G18)/2)</f>
        <v>0</v>
      </c>
    </row>
    <row r="19" spans="1:9" ht="16.5">
      <c r="A19" s="51">
        <f>+A18+1</f>
        <v>4</v>
      </c>
      <c r="C19" s="985" t="s">
        <v>306</v>
      </c>
      <c r="D19" s="1247" t="str">
        <f>"WS B-1 - Actual Stmt. AF Ln. " &amp;'WS B-1 - Actual Stmt. AF'!A23&amp;" (Note 1)"</f>
        <v>WS B-1 - Actual Stmt. AF Ln. 3 (Note 1)</v>
      </c>
      <c r="E19" s="979">
        <v>0</v>
      </c>
      <c r="F19" s="977"/>
      <c r="G19" s="979">
        <v>0</v>
      </c>
      <c r="H19" s="977"/>
      <c r="I19" s="983">
        <f>IF(G19="",0,(E19+G19)/2)</f>
        <v>0</v>
      </c>
    </row>
    <row r="20" spans="1:9" ht="14.25">
      <c r="A20" s="51">
        <f>+A19+1</f>
        <v>5</v>
      </c>
      <c r="C20" s="985" t="s">
        <v>302</v>
      </c>
      <c r="D20" s="990" t="str">
        <f>"Ln "&amp;A17&amp;" - ln "&amp;A18&amp;" - ln "&amp;A19&amp;""</f>
        <v>Ln 2 - ln 3 - ln 4</v>
      </c>
      <c r="E20" s="984">
        <f>+E17-E18-E19</f>
        <v>0</v>
      </c>
      <c r="F20" s="977"/>
      <c r="G20" s="984">
        <f>+G17-G18-G19</f>
        <v>0</v>
      </c>
      <c r="H20" s="977"/>
      <c r="I20" s="982">
        <f>+I17-I18-I19</f>
        <v>0</v>
      </c>
    </row>
    <row r="21" spans="1:9" ht="14.25">
      <c r="A21" s="51"/>
      <c r="C21" s="42"/>
      <c r="D21" s="985"/>
      <c r="E21" s="977"/>
      <c r="F21" s="977"/>
      <c r="G21" s="977"/>
      <c r="H21" s="977"/>
      <c r="I21" s="977"/>
    </row>
    <row r="22" spans="1:9" ht="14.25">
      <c r="A22" s="51"/>
      <c r="C22" s="42"/>
      <c r="D22" s="985"/>
      <c r="E22" s="977"/>
      <c r="F22" s="977"/>
      <c r="G22" s="977"/>
      <c r="H22" s="977"/>
      <c r="I22" s="977"/>
    </row>
    <row r="23" spans="1:9" ht="15.75">
      <c r="A23" s="51">
        <f>+A20+1</f>
        <v>6</v>
      </c>
      <c r="C23" s="40" t="s">
        <v>296</v>
      </c>
      <c r="D23" s="985"/>
      <c r="E23" s="977"/>
      <c r="F23" s="977"/>
      <c r="G23" s="977"/>
      <c r="H23" s="977"/>
      <c r="I23" s="977"/>
    </row>
    <row r="24" spans="1:9" ht="14.25">
      <c r="A24" s="51"/>
      <c r="C24" s="42"/>
      <c r="D24" s="985"/>
      <c r="E24" s="977"/>
      <c r="F24" s="977"/>
      <c r="G24" s="977"/>
      <c r="H24" s="977"/>
      <c r="I24" s="977"/>
    </row>
    <row r="25" spans="1:9" ht="14.25">
      <c r="A25" s="51">
        <f>+A23+1</f>
        <v>7</v>
      </c>
      <c r="C25" s="985" t="s">
        <v>301</v>
      </c>
      <c r="D25" s="989" t="s">
        <v>229</v>
      </c>
      <c r="E25" s="975">
        <v>197219664.27565196</v>
      </c>
      <c r="F25" s="980"/>
      <c r="G25" s="975">
        <v>169884900.55877426</v>
      </c>
      <c r="H25" s="981"/>
      <c r="I25" s="982">
        <f>IF(G25="",0,(E25+G25)/2)</f>
        <v>183552282.41721311</v>
      </c>
    </row>
    <row r="26" spans="1:9" ht="14.25">
      <c r="A26" s="51">
        <f>+A25+1</f>
        <v>8</v>
      </c>
      <c r="C26" s="985" t="s">
        <v>305</v>
      </c>
      <c r="D26" s="1247" t="str">
        <f>"WS B-1 - Actual Stmt. AF Ln. " &amp;'WS B-1 - Actual Stmt. AF'!A72&amp;" (Note 1)"</f>
        <v>WS B-1 - Actual Stmt. AF Ln. 7 (Note 1)</v>
      </c>
      <c r="E26" s="975">
        <v>0</v>
      </c>
      <c r="F26" s="977"/>
      <c r="G26" s="975">
        <v>0</v>
      </c>
      <c r="H26" s="981"/>
      <c r="I26" s="982">
        <f>IF(G26="",0,(E26+G26)/2)</f>
        <v>0</v>
      </c>
    </row>
    <row r="27" spans="1:9" ht="16.5">
      <c r="A27" s="51">
        <f>+A26+1</f>
        <v>9</v>
      </c>
      <c r="C27" s="985" t="s">
        <v>306</v>
      </c>
      <c r="D27" s="1247" t="str">
        <f>"WS B-1 - Actual Stmt. AF Ln. " &amp;'WS B-1 - Actual Stmt. AF'!A71&amp;" (Note 1)"</f>
        <v>WS B-1 - Actual Stmt. AF Ln. 6 (Note 1)</v>
      </c>
      <c r="E27" s="979">
        <v>-10818336.532880813</v>
      </c>
      <c r="F27" s="977"/>
      <c r="G27" s="979">
        <v>-25565379.150000006</v>
      </c>
      <c r="H27" s="977"/>
      <c r="I27" s="983">
        <f>IF(G27="",0,(E27+G27)/2)</f>
        <v>-18191857.841440409</v>
      </c>
    </row>
    <row r="28" spans="1:9" ht="14.25">
      <c r="A28" s="51">
        <f>+A27+1</f>
        <v>10</v>
      </c>
      <c r="C28" s="985" t="s">
        <v>302</v>
      </c>
      <c r="D28" s="990" t="str">
        <f>"Ln "&amp;A25&amp;" - ln "&amp;A26&amp;" - ln "&amp;A27&amp;""</f>
        <v>Ln 7 - ln 8 - ln 9</v>
      </c>
      <c r="E28" s="984">
        <f>+E25-E26-E27</f>
        <v>208038000.80853277</v>
      </c>
      <c r="F28" s="977"/>
      <c r="G28" s="984">
        <f>+G25-G26-G27</f>
        <v>195450279.70877427</v>
      </c>
      <c r="H28" s="977"/>
      <c r="I28" s="982">
        <f>+I25-I26-I27</f>
        <v>201744140.25865352</v>
      </c>
    </row>
    <row r="29" spans="1:9" ht="14.25">
      <c r="A29" s="51"/>
      <c r="C29" s="42"/>
      <c r="D29" s="985"/>
      <c r="E29" s="977"/>
      <c r="F29" s="977"/>
      <c r="G29" s="977"/>
      <c r="H29" s="977"/>
      <c r="I29" s="977"/>
    </row>
    <row r="30" spans="1:9" ht="14.25">
      <c r="A30" s="51"/>
      <c r="C30" s="42"/>
      <c r="D30" s="985"/>
      <c r="E30" s="978"/>
      <c r="F30" s="977"/>
      <c r="G30" s="978"/>
      <c r="H30" s="977"/>
      <c r="I30" s="977"/>
    </row>
    <row r="31" spans="1:9" ht="15.75">
      <c r="A31" s="51">
        <f>+A28+1</f>
        <v>11</v>
      </c>
      <c r="C31" s="40" t="s">
        <v>297</v>
      </c>
      <c r="D31" s="985"/>
      <c r="E31" s="977"/>
      <c r="F31" s="977"/>
      <c r="G31" s="977"/>
      <c r="H31" s="977"/>
      <c r="I31" s="977"/>
    </row>
    <row r="32" spans="1:9" ht="15.75">
      <c r="A32" s="51"/>
      <c r="C32" s="40"/>
      <c r="D32" s="985"/>
      <c r="E32" s="977"/>
      <c r="F32" s="977"/>
      <c r="G32" s="977"/>
      <c r="H32" s="977"/>
      <c r="I32" s="977"/>
    </row>
    <row r="33" spans="1:9" ht="14.25">
      <c r="A33" s="51">
        <f>+A31+1</f>
        <v>12</v>
      </c>
      <c r="C33" s="985" t="s">
        <v>301</v>
      </c>
      <c r="D33" s="989" t="s">
        <v>304</v>
      </c>
      <c r="E33" s="975">
        <v>77672722.31680809</v>
      </c>
      <c r="F33" s="980"/>
      <c r="G33" s="975">
        <v>77563381.562977523</v>
      </c>
      <c r="H33" s="981"/>
      <c r="I33" s="982">
        <f>IF(G33="",0,(E33+G33)/2)</f>
        <v>77618051.939892799</v>
      </c>
    </row>
    <row r="34" spans="1:9" ht="14.25">
      <c r="A34" s="51">
        <f>+A33+1</f>
        <v>13</v>
      </c>
      <c r="C34" s="985" t="s">
        <v>305</v>
      </c>
      <c r="D34" s="1247" t="str">
        <f>"WS B-1 - Actual Stmt. AF Ln. " &amp;'WS B-1 - Actual Stmt. AF'!A184&amp;" (Note 1)"</f>
        <v>WS B-1 - Actual Stmt. AF Ln. 13 (Note 1)</v>
      </c>
      <c r="E34" s="975">
        <v>0</v>
      </c>
      <c r="F34" s="977"/>
      <c r="G34" s="975">
        <v>0</v>
      </c>
      <c r="H34" s="981"/>
      <c r="I34" s="982">
        <f>IF(G34="",0,(E34+G34)/2)</f>
        <v>0</v>
      </c>
    </row>
    <row r="35" spans="1:9" ht="16.5">
      <c r="A35" s="51">
        <f>+A34+1</f>
        <v>14</v>
      </c>
      <c r="C35" s="985" t="s">
        <v>306</v>
      </c>
      <c r="D35" s="1247" t="str">
        <f>"WS B-1 - Actual Stmt. AF Ln. " &amp;'WS B-1 - Actual Stmt. AF'!A183&amp;" (Note 1)"</f>
        <v>WS B-1 - Actual Stmt. AF Ln. 12 (Note 1)</v>
      </c>
      <c r="E35" s="979">
        <v>25388284.82</v>
      </c>
      <c r="F35" s="977"/>
      <c r="G35" s="979">
        <v>25388285.819999993</v>
      </c>
      <c r="H35" s="977"/>
      <c r="I35" s="983">
        <f>IF(G35="",0,(E35+G35)/2)</f>
        <v>25388285.319999997</v>
      </c>
    </row>
    <row r="36" spans="1:9" ht="14.25">
      <c r="A36" s="51">
        <f>+A35+1</f>
        <v>15</v>
      </c>
      <c r="C36" s="985" t="s">
        <v>302</v>
      </c>
      <c r="D36" s="990" t="str">
        <f>"Ln "&amp;A33&amp;" - ln "&amp;A34&amp;" - ln "&amp;A35&amp;""</f>
        <v>Ln 12 - ln 13 - ln 14</v>
      </c>
      <c r="E36" s="984">
        <f>+E33-E34-E35</f>
        <v>52284437.496808089</v>
      </c>
      <c r="F36" s="977"/>
      <c r="G36" s="984">
        <f>+G33-G34-G35</f>
        <v>52175095.74297753</v>
      </c>
      <c r="H36" s="977"/>
      <c r="I36" s="982">
        <f>+I33-I34-I35</f>
        <v>52229766.619892806</v>
      </c>
    </row>
    <row r="37" spans="1:9" ht="15.75">
      <c r="A37" s="51"/>
      <c r="C37" s="40"/>
      <c r="D37" s="985"/>
      <c r="E37" s="977"/>
      <c r="F37" s="977"/>
      <c r="G37" s="977"/>
      <c r="H37" s="977"/>
      <c r="I37" s="977"/>
    </row>
    <row r="38" spans="1:9" ht="14.25">
      <c r="A38" s="51"/>
      <c r="C38" s="42"/>
      <c r="D38" s="985"/>
      <c r="E38" s="977"/>
      <c r="F38" s="977"/>
      <c r="G38" s="977"/>
      <c r="H38" s="977"/>
      <c r="I38" s="977"/>
    </row>
    <row r="39" spans="1:9" ht="15.75">
      <c r="A39" s="51">
        <f>+A36+1</f>
        <v>16</v>
      </c>
      <c r="C39" s="40" t="s">
        <v>298</v>
      </c>
      <c r="D39" s="985"/>
      <c r="E39" s="977"/>
      <c r="F39" s="977"/>
      <c r="G39" s="977"/>
      <c r="H39" s="977"/>
      <c r="I39" s="977"/>
    </row>
    <row r="40" spans="1:9" ht="14.25">
      <c r="A40" s="51"/>
      <c r="C40" s="42"/>
      <c r="D40" s="985"/>
      <c r="E40" s="977"/>
      <c r="F40" s="977"/>
      <c r="G40" s="977"/>
      <c r="H40" s="977"/>
      <c r="I40" s="977"/>
    </row>
    <row r="41" spans="1:9" ht="14.25">
      <c r="A41" s="51">
        <f>+A39+1</f>
        <v>17</v>
      </c>
      <c r="C41" s="985" t="s">
        <v>301</v>
      </c>
      <c r="D41" s="989" t="s">
        <v>300</v>
      </c>
      <c r="E41" s="975">
        <v>37287301.832825102</v>
      </c>
      <c r="F41" s="980"/>
      <c r="G41" s="975">
        <v>47278990.970829934</v>
      </c>
      <c r="H41" s="981"/>
      <c r="I41" s="982">
        <f>IF(G41="",0,(E41+G41)/2)</f>
        <v>42283146.401827514</v>
      </c>
    </row>
    <row r="42" spans="1:9" ht="14.25">
      <c r="A42" s="51">
        <f>+A41+1</f>
        <v>18</v>
      </c>
      <c r="C42" s="985" t="s">
        <v>305</v>
      </c>
      <c r="D42" s="1247" t="str">
        <f>"WS B-2 - Actual Stmt. AG Ln. " &amp;'WS B-2 - Actual Stmt. AG'!A110&amp;" (Note 1)"</f>
        <v>WS B-2 - Actual Stmt. AG Ln. 4 (Note 1)</v>
      </c>
      <c r="E42" s="975">
        <v>0</v>
      </c>
      <c r="F42" s="977"/>
      <c r="G42" s="975">
        <v>0</v>
      </c>
      <c r="H42" s="981"/>
      <c r="I42" s="982">
        <f>IF(G42="",0,(E42+G42)/2)</f>
        <v>0</v>
      </c>
    </row>
    <row r="43" spans="1:9" ht="16.5">
      <c r="A43" s="51">
        <f>+A42+1</f>
        <v>19</v>
      </c>
      <c r="C43" s="985" t="s">
        <v>306</v>
      </c>
      <c r="D43" s="1247" t="str">
        <f>"WS B-2 - Actual Stmt. AG Ln. " &amp;'WS B-2 - Actual Stmt. AG'!A109&amp;" (Note 1)"</f>
        <v>WS B-2 - Actual Stmt. AG Ln. 3 (Note 1)</v>
      </c>
      <c r="E43" s="979">
        <v>21706905.810000002</v>
      </c>
      <c r="F43" s="977"/>
      <c r="G43" s="979">
        <v>21706906.810000002</v>
      </c>
      <c r="H43" s="977"/>
      <c r="I43" s="983">
        <f>IF(G43="",0,(E43+G43)/2)</f>
        <v>21706906.310000002</v>
      </c>
    </row>
    <row r="44" spans="1:9" ht="14.25">
      <c r="A44" s="51">
        <f>+A43+1</f>
        <v>20</v>
      </c>
      <c r="C44" s="985" t="s">
        <v>302</v>
      </c>
      <c r="D44" s="990" t="str">
        <f>"Ln "&amp;A41&amp;" - ln "&amp;A42&amp;" - ln "&amp;A43&amp;""</f>
        <v>Ln 17 - ln 18 - ln 19</v>
      </c>
      <c r="E44" s="984">
        <f>+E41-E42-E43</f>
        <v>15580396.0228251</v>
      </c>
      <c r="F44" s="977"/>
      <c r="G44" s="984">
        <f>+G41-G42-G43</f>
        <v>25572084.160829931</v>
      </c>
      <c r="H44" s="977"/>
      <c r="I44" s="982">
        <f>+I41-I42-I43</f>
        <v>20576240.091827512</v>
      </c>
    </row>
    <row r="45" spans="1:9" ht="14.25">
      <c r="A45" s="51"/>
      <c r="C45" s="42"/>
      <c r="D45" s="42"/>
      <c r="E45" s="977"/>
      <c r="F45" s="977"/>
      <c r="G45" s="977"/>
      <c r="H45" s="977"/>
      <c r="I45" s="977"/>
    </row>
    <row r="46" spans="1:9" ht="14.25">
      <c r="A46" s="51"/>
      <c r="C46" s="42"/>
      <c r="D46" s="42"/>
      <c r="E46" s="977"/>
      <c r="F46" s="977"/>
      <c r="G46" s="977"/>
      <c r="H46" s="977"/>
      <c r="I46" s="977"/>
    </row>
    <row r="47" spans="1:9" ht="15.75">
      <c r="A47" s="51">
        <f>+A44+1</f>
        <v>21</v>
      </c>
      <c r="C47" s="40" t="s">
        <v>299</v>
      </c>
      <c r="D47" s="42"/>
      <c r="E47" s="977"/>
      <c r="F47" s="977"/>
      <c r="G47" s="977"/>
      <c r="H47" s="977"/>
      <c r="I47" s="977"/>
    </row>
    <row r="48" spans="1:9" ht="14.25">
      <c r="A48" s="51"/>
      <c r="C48" s="42"/>
      <c r="D48" s="42"/>
      <c r="E48" s="977"/>
      <c r="F48" s="977"/>
      <c r="G48" s="977"/>
      <c r="H48" s="977"/>
      <c r="I48" s="977"/>
    </row>
    <row r="49" spans="1:10" ht="14.25">
      <c r="A49" s="51">
        <f>+A47+1</f>
        <v>22</v>
      </c>
      <c r="C49" s="985" t="s">
        <v>307</v>
      </c>
      <c r="D49" s="989" t="s">
        <v>261</v>
      </c>
      <c r="E49" s="975">
        <v>0</v>
      </c>
      <c r="F49" s="977"/>
      <c r="G49" s="975">
        <v>0</v>
      </c>
      <c r="H49" s="981"/>
      <c r="I49" s="982">
        <f>IF(G49="",0,(E49+G49)/2)</f>
        <v>0</v>
      </c>
    </row>
    <row r="50" spans="1:10" ht="16.5">
      <c r="A50" s="51">
        <f>+A49+1</f>
        <v>23</v>
      </c>
      <c r="C50" s="985" t="s">
        <v>308</v>
      </c>
      <c r="D50" s="976" t="s">
        <v>326</v>
      </c>
      <c r="E50" s="979">
        <v>0</v>
      </c>
      <c r="F50" s="977"/>
      <c r="G50" s="979">
        <v>0</v>
      </c>
      <c r="H50" s="981"/>
      <c r="I50" s="983">
        <f>IF(G50="",0,(E50+G50)/2)</f>
        <v>0</v>
      </c>
    </row>
    <row r="51" spans="1:10" ht="14.25">
      <c r="A51" s="51">
        <f>+A50+1</f>
        <v>24</v>
      </c>
      <c r="C51" s="985" t="s">
        <v>252</v>
      </c>
      <c r="D51" s="990" t="str">
        <f>"Ln "&amp;A49&amp;" - ln "&amp;A50&amp;""</f>
        <v>Ln 22 - ln 23</v>
      </c>
      <c r="E51" s="984">
        <f>+E49-E50</f>
        <v>0</v>
      </c>
      <c r="F51" s="977"/>
      <c r="G51" s="984">
        <f>+G49-G50</f>
        <v>0</v>
      </c>
      <c r="H51" s="981"/>
      <c r="I51" s="982">
        <f>+I49-I50</f>
        <v>0</v>
      </c>
    </row>
    <row r="52" spans="1:10" ht="14.25">
      <c r="A52" s="51">
        <f>+A51+1</f>
        <v>25</v>
      </c>
      <c r="C52" s="985" t="s">
        <v>302</v>
      </c>
      <c r="D52" s="990" t="str">
        <f>"WS B-1 - Actual Stmt. AF Ln. " &amp;'WS B-1 - Actual Stmt. AF'!A197&amp;" (Note 1)"</f>
        <v>WS B-1 - Actual Stmt. AF Ln. 20 (Note 1)</v>
      </c>
      <c r="E52" s="975">
        <v>0</v>
      </c>
      <c r="F52" s="977"/>
      <c r="G52" s="975">
        <v>0</v>
      </c>
      <c r="H52" s="981"/>
      <c r="I52" s="982">
        <f>IF(G52="",0,(E52+G52)/2)</f>
        <v>0</v>
      </c>
    </row>
    <row r="53" spans="1:10">
      <c r="A53" s="51"/>
      <c r="C53" s="42"/>
      <c r="D53" s="42"/>
    </row>
    <row r="54" spans="1:10" ht="14.25">
      <c r="A54" s="986" t="s">
        <v>325</v>
      </c>
      <c r="B54" s="987" t="s">
        <v>406</v>
      </c>
      <c r="C54" s="987" t="s">
        <v>765</v>
      </c>
      <c r="D54" s="42"/>
    </row>
    <row r="55" spans="1:10" ht="14.25">
      <c r="A55" s="976"/>
      <c r="B55" s="988"/>
      <c r="C55" s="985" t="s">
        <v>766</v>
      </c>
      <c r="D55" s="42"/>
    </row>
    <row r="56" spans="1:10" ht="14.25">
      <c r="A56" s="976" t="s">
        <v>258</v>
      </c>
      <c r="B56" s="988" t="s">
        <v>259</v>
      </c>
      <c r="C56" s="985"/>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zoomScale="60" zoomScaleNormal="50" workbookViewId="0">
      <selection activeCell="D39" sqref="D39:L39"/>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West Virginia Transmission Company</v>
      </c>
      <c r="C1" s="1028"/>
      <c r="D1" s="1028"/>
      <c r="E1" s="1028"/>
      <c r="F1" s="1028"/>
      <c r="G1" s="1025"/>
      <c r="H1" s="1025"/>
      <c r="I1" s="1025"/>
      <c r="J1" s="1025"/>
      <c r="K1" s="1025"/>
      <c r="L1" s="1025"/>
      <c r="M1" s="1028"/>
      <c r="N1" s="1028"/>
      <c r="O1" s="1028"/>
      <c r="P1" s="1028"/>
      <c r="Q1" s="1028"/>
      <c r="R1" s="1028"/>
      <c r="S1" s="1025"/>
    </row>
    <row r="2" spans="1:19">
      <c r="A2" s="1044"/>
      <c r="B2" s="1027" t="s">
        <v>642</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2025</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643</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644</v>
      </c>
      <c r="C8" s="1030" t="s">
        <v>645</v>
      </c>
      <c r="D8" s="1030" t="s">
        <v>646</v>
      </c>
      <c r="E8" s="1030" t="s">
        <v>647</v>
      </c>
      <c r="F8" s="1030" t="s">
        <v>648</v>
      </c>
      <c r="G8" s="1030" t="s">
        <v>649</v>
      </c>
      <c r="H8" s="1030"/>
      <c r="I8" s="1030" t="s">
        <v>650</v>
      </c>
      <c r="J8" s="1030" t="s">
        <v>651</v>
      </c>
      <c r="K8" s="1030" t="s">
        <v>652</v>
      </c>
      <c r="L8" s="1030"/>
      <c r="M8" s="1030" t="s">
        <v>653</v>
      </c>
      <c r="N8" s="1030" t="s">
        <v>654</v>
      </c>
      <c r="O8" s="1030" t="s">
        <v>655</v>
      </c>
      <c r="P8" s="1028"/>
      <c r="Q8" s="1030" t="s">
        <v>656</v>
      </c>
      <c r="R8" s="1030" t="s">
        <v>657</v>
      </c>
      <c r="S8" s="1030" t="s">
        <v>658</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659</v>
      </c>
      <c r="D10" s="1031"/>
      <c r="E10" s="1032" t="s">
        <v>660</v>
      </c>
      <c r="F10" s="1031"/>
      <c r="G10" s="1019" t="s">
        <v>661</v>
      </c>
      <c r="H10" s="1019"/>
      <c r="I10" s="1033" t="s">
        <v>662</v>
      </c>
      <c r="J10" s="1031"/>
      <c r="K10" s="1031"/>
      <c r="L10" s="1019"/>
      <c r="M10" s="1033" t="str">
        <f>"FUNCTIONALIZATION 12/31/"&amp;TCOS!L4-1</f>
        <v>FUNCTIONALIZATION 12/31/2024</v>
      </c>
      <c r="N10" s="1031"/>
      <c r="O10" s="1031"/>
      <c r="P10" s="1028"/>
      <c r="Q10" s="1033" t="str">
        <f>"FUNCTIONALIZATION 12/31/"&amp;TCOS!L4</f>
        <v>FUNCTIONALIZATION 12/31/2025</v>
      </c>
      <c r="R10" s="1031"/>
      <c r="S10" s="1031"/>
    </row>
    <row r="11" spans="1:19">
      <c r="A11" s="1044"/>
      <c r="B11" s="1028"/>
      <c r="C11" s="1034"/>
      <c r="D11" s="1034"/>
      <c r="E11" s="1028"/>
      <c r="F11" s="1028"/>
      <c r="G11" s="1019" t="s">
        <v>663</v>
      </c>
      <c r="H11" s="1019"/>
      <c r="I11" s="1034"/>
      <c r="J11" s="1034"/>
      <c r="K11" s="1034"/>
      <c r="L11" s="1019"/>
      <c r="M11" s="1034"/>
      <c r="N11" s="1034"/>
      <c r="O11" s="1034"/>
      <c r="P11" s="1028"/>
      <c r="Q11" s="1034"/>
      <c r="R11" s="1034"/>
      <c r="S11" s="1034"/>
    </row>
    <row r="12" spans="1:19" s="1062" customFormat="1">
      <c r="A12" s="1063"/>
      <c r="B12" s="1061"/>
      <c r="C12" s="1064" t="s">
        <v>664</v>
      </c>
      <c r="D12" s="1064" t="s">
        <v>664</v>
      </c>
      <c r="E12" s="1064" t="s">
        <v>664</v>
      </c>
      <c r="F12" s="1064" t="s">
        <v>664</v>
      </c>
      <c r="G12" s="1064" t="s">
        <v>665</v>
      </c>
      <c r="H12" s="1064"/>
      <c r="I12" s="1061"/>
      <c r="J12" s="1061"/>
      <c r="K12" s="1061"/>
      <c r="L12" s="1064"/>
      <c r="M12" s="1061"/>
      <c r="N12" s="1061"/>
      <c r="O12" s="1061"/>
      <c r="P12" s="1061"/>
      <c r="Q12" s="1061"/>
      <c r="R12" s="1061"/>
      <c r="S12" s="1061"/>
    </row>
    <row r="13" spans="1:19" s="1062" customFormat="1">
      <c r="A13" s="1063"/>
      <c r="B13" s="1065" t="s">
        <v>666</v>
      </c>
      <c r="C13" s="1065" t="str">
        <f>"OF 12-31-"&amp;TCOS!L4-1</f>
        <v>OF 12-31-2024</v>
      </c>
      <c r="D13" s="1065" t="str">
        <f>"OF 12-31-"&amp;TCOS!L4</f>
        <v>OF 12-31-2025</v>
      </c>
      <c r="E13" s="1065" t="str">
        <f>"OF 12-31-"&amp;TCOS!L4-1</f>
        <v>OF 12-31-2024</v>
      </c>
      <c r="F13" s="1065" t="str">
        <f>"OF 12-31-"&amp;TCOS!L4</f>
        <v>OF 12-31-2025</v>
      </c>
      <c r="G13" s="1065" t="s">
        <v>667</v>
      </c>
      <c r="H13" s="1065"/>
      <c r="I13" s="1065" t="s">
        <v>668</v>
      </c>
      <c r="J13" s="1065" t="s">
        <v>669</v>
      </c>
      <c r="K13" s="1065" t="s">
        <v>670</v>
      </c>
      <c r="L13" s="1065"/>
      <c r="M13" s="1065" t="s">
        <v>668</v>
      </c>
      <c r="N13" s="1065" t="s">
        <v>669</v>
      </c>
      <c r="O13" s="1065" t="s">
        <v>670</v>
      </c>
      <c r="P13" s="1061"/>
      <c r="Q13" s="1065" t="s">
        <v>668</v>
      </c>
      <c r="R13" s="1065" t="s">
        <v>669</v>
      </c>
      <c r="S13" s="1065" t="s">
        <v>670</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671</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672</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673</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674</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hidden="1">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hidden="1">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hidden="1">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hidden="1">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hidden="1">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hidden="1">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hidden="1">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hidden="1">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hidden="1">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hidden="1">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hidden="1">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hidden="1">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hidden="1">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hidden="1">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hidden="1">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hidden="1">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hidden="1">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hidden="1">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hidden="1">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hidden="1">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hidden="1">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hidden="1">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hidden="1">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hidden="1">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hidden="1">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hidden="1">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hidden="1">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hidden="1">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hidden="1">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hidden="1">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hidden="1">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hidden="1">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hidden="1">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hidden="1">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hidden="1">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hidden="1">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hidden="1">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hidden="1">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675</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676</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677</v>
      </c>
      <c r="C74" s="1036" t="s">
        <v>406</v>
      </c>
      <c r="D74" s="1036"/>
      <c r="E74" s="1036"/>
      <c r="F74" s="1036"/>
      <c r="G74" s="1036"/>
      <c r="H74" s="1036"/>
      <c r="I74" s="1036"/>
      <c r="J74" s="1036"/>
      <c r="K74" s="1036"/>
      <c r="L74" s="1036"/>
      <c r="M74" s="1036"/>
      <c r="N74" s="1036"/>
      <c r="O74" s="1036"/>
      <c r="P74" s="1036"/>
      <c r="Q74" s="1036"/>
      <c r="R74" s="1036"/>
      <c r="S74" s="1036"/>
    </row>
    <row r="75" spans="1:19" hidden="1">
      <c r="A75" s="1045"/>
      <c r="B75" s="1028"/>
      <c r="C75" s="1036"/>
      <c r="D75" s="1036"/>
      <c r="E75" s="1036"/>
      <c r="F75" s="1036"/>
      <c r="G75" s="1036"/>
      <c r="H75" s="1036"/>
      <c r="I75" s="1036"/>
      <c r="J75" s="1036"/>
      <c r="K75" s="1036"/>
      <c r="L75" s="1036"/>
      <c r="M75" s="1036"/>
      <c r="N75" s="1036"/>
      <c r="O75" s="1036"/>
      <c r="P75" s="1036"/>
      <c r="Q75" s="1036"/>
      <c r="R75" s="1036"/>
      <c r="S75" s="1036"/>
    </row>
    <row r="76" spans="1:19" hidden="1">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hidden="1">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hidden="1">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hidden="1">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hidden="1">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hidden="1">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hidden="1">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hidden="1">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hidden="1">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678</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679</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680</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681</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682</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683</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684</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685</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686</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100" workbookViewId="0">
      <selection activeCell="M144" sqref="M14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West Virginia Transmission Company</v>
      </c>
      <c r="C1" s="1047"/>
      <c r="D1" s="1047"/>
      <c r="E1" s="1047"/>
      <c r="F1" s="1028"/>
      <c r="G1" s="1022"/>
      <c r="H1" s="1022"/>
      <c r="I1" s="1022"/>
      <c r="J1" s="1022"/>
      <c r="K1" s="1022"/>
      <c r="L1" s="1022"/>
      <c r="M1" s="1028"/>
      <c r="N1" s="1028"/>
      <c r="O1" s="1022"/>
      <c r="P1" s="1028"/>
      <c r="Q1" s="1028"/>
      <c r="R1" s="1028"/>
      <c r="S1" s="1022"/>
    </row>
    <row r="2" spans="1:19">
      <c r="A2" s="1046"/>
      <c r="B2" s="1027" t="s">
        <v>687</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2025</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688</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644</v>
      </c>
      <c r="C8" s="1048" t="s">
        <v>645</v>
      </c>
      <c r="D8" s="1048" t="s">
        <v>646</v>
      </c>
      <c r="E8" s="1048" t="s">
        <v>647</v>
      </c>
      <c r="F8" s="1048" t="s">
        <v>648</v>
      </c>
      <c r="G8" s="1048" t="s">
        <v>649</v>
      </c>
      <c r="H8" s="1048"/>
      <c r="I8" s="1048" t="s">
        <v>650</v>
      </c>
      <c r="J8" s="1048" t="s">
        <v>651</v>
      </c>
      <c r="K8" s="1048" t="s">
        <v>652</v>
      </c>
      <c r="L8" s="1048"/>
      <c r="M8" s="1030" t="s">
        <v>653</v>
      </c>
      <c r="N8" s="1030" t="s">
        <v>654</v>
      </c>
      <c r="O8" s="1030" t="s">
        <v>655</v>
      </c>
      <c r="P8" s="1028"/>
      <c r="Q8" s="1030" t="s">
        <v>656</v>
      </c>
      <c r="R8" s="1030" t="s">
        <v>657</v>
      </c>
      <c r="S8" s="1030" t="s">
        <v>658</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659</v>
      </c>
      <c r="D10" s="1049"/>
      <c r="E10" s="1050" t="s">
        <v>660</v>
      </c>
      <c r="F10" s="1049"/>
      <c r="G10" s="1020" t="s">
        <v>661</v>
      </c>
      <c r="H10" s="1020"/>
      <c r="I10" s="1051" t="s">
        <v>662</v>
      </c>
      <c r="J10" s="1049"/>
      <c r="K10" s="1049"/>
      <c r="L10" s="1020"/>
      <c r="M10" s="1031" t="str">
        <f>"FUNCTIONALIZATION 12/31/"&amp;TCOS!L4-1</f>
        <v>FUNCTIONALIZATION 12/31/2024</v>
      </c>
      <c r="N10" s="1031"/>
      <c r="O10" s="1031"/>
      <c r="P10" s="1028"/>
      <c r="Q10" s="1031" t="str">
        <f>"FUNCTIONALIZATION 12/31/"&amp;TCOS!L4</f>
        <v>FUNCTIONALIZATION 12/31/2025</v>
      </c>
      <c r="R10" s="1031"/>
      <c r="S10" s="1031"/>
    </row>
    <row r="11" spans="1:19">
      <c r="A11" s="1046"/>
      <c r="B11" s="1028"/>
      <c r="C11" s="1052"/>
      <c r="D11" s="1052"/>
      <c r="E11" s="1047"/>
      <c r="F11" s="1047"/>
      <c r="G11" s="1020" t="s">
        <v>663</v>
      </c>
      <c r="H11" s="1020"/>
      <c r="I11" s="1052"/>
      <c r="J11" s="1052"/>
      <c r="K11" s="1052"/>
      <c r="L11" s="1020"/>
      <c r="M11" s="1034"/>
      <c r="N11" s="1034"/>
      <c r="O11" s="1034"/>
      <c r="P11" s="1028"/>
      <c r="Q11" s="1034"/>
      <c r="R11" s="1034"/>
      <c r="S11" s="1034"/>
    </row>
    <row r="12" spans="1:19">
      <c r="A12" s="1046"/>
      <c r="B12" s="1028"/>
      <c r="C12" s="1020" t="s">
        <v>664</v>
      </c>
      <c r="D12" s="1020" t="s">
        <v>664</v>
      </c>
      <c r="E12" s="1020" t="s">
        <v>664</v>
      </c>
      <c r="F12" s="1020" t="s">
        <v>664</v>
      </c>
      <c r="G12" s="1020" t="s">
        <v>665</v>
      </c>
      <c r="H12" s="1020"/>
      <c r="I12" s="1047"/>
      <c r="J12" s="1047"/>
      <c r="K12" s="1047"/>
      <c r="L12" s="1020"/>
      <c r="M12" s="1028"/>
      <c r="N12" s="1028"/>
      <c r="O12" s="1028"/>
      <c r="P12" s="1028"/>
      <c r="Q12" s="1028"/>
      <c r="R12" s="1028"/>
      <c r="S12" s="1028"/>
    </row>
    <row r="13" spans="1:19">
      <c r="A13" s="1046"/>
      <c r="B13" s="1030" t="s">
        <v>666</v>
      </c>
      <c r="C13" s="1048" t="str">
        <f>"OF 12-31-"&amp;TCOS!L4-1</f>
        <v>OF 12-31-2024</v>
      </c>
      <c r="D13" s="1048" t="str">
        <f>"OF 12-31-"&amp;TCOS!L4</f>
        <v>OF 12-31-2025</v>
      </c>
      <c r="E13" s="1048" t="str">
        <f>"OF 12-31-"&amp;TCOS!L4-1</f>
        <v>OF 12-31-2024</v>
      </c>
      <c r="F13" s="1048" t="str">
        <f>"OF 12-31-"&amp;TCOS!L4</f>
        <v>OF 12-31-2025</v>
      </c>
      <c r="G13" s="1048" t="s">
        <v>667</v>
      </c>
      <c r="H13" s="1048"/>
      <c r="I13" s="1048" t="s">
        <v>668</v>
      </c>
      <c r="J13" s="1048" t="s">
        <v>669</v>
      </c>
      <c r="K13" s="1048" t="s">
        <v>670</v>
      </c>
      <c r="L13" s="1048"/>
      <c r="M13" s="1030" t="s">
        <v>668</v>
      </c>
      <c r="N13" s="1030" t="s">
        <v>669</v>
      </c>
      <c r="O13" s="1030" t="s">
        <v>670</v>
      </c>
      <c r="P13" s="1028"/>
      <c r="Q13" s="1030" t="s">
        <v>668</v>
      </c>
      <c r="R13" s="1030" t="s">
        <v>669</v>
      </c>
      <c r="S13" s="1030" t="s">
        <v>670</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689</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hidden="1">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hidden="1">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hidden="1">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hidden="1">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hidden="1">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690</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71" customFormat="1" ht="13.5" thickTop="1">
      <c r="A110" s="1020">
        <v>4</v>
      </c>
      <c r="B110" s="1028" t="s">
        <v>691</v>
      </c>
      <c r="C110" s="1248">
        <f>C77+C78</f>
        <v>0</v>
      </c>
      <c r="D110" s="1248">
        <f>D77+D78</f>
        <v>0</v>
      </c>
      <c r="E110" s="1248">
        <f>E77+E78</f>
        <v>0</v>
      </c>
      <c r="F110" s="1248">
        <f>F77+F78</f>
        <v>0</v>
      </c>
      <c r="G110" s="1248">
        <f>G77+G78</f>
        <v>0</v>
      </c>
      <c r="I110" s="1248">
        <f>I77+I78</f>
        <v>0</v>
      </c>
      <c r="J110" s="1248">
        <f>J77+J78</f>
        <v>0</v>
      </c>
      <c r="K110" s="1248">
        <f>K77+K78</f>
        <v>0</v>
      </c>
      <c r="M110" s="1248">
        <f>M77+M78</f>
        <v>0</v>
      </c>
      <c r="N110" s="1248">
        <f>N77+N78</f>
        <v>0</v>
      </c>
      <c r="O110" s="1248">
        <f>O77+O78</f>
        <v>0</v>
      </c>
      <c r="Q110" s="1248">
        <f>Q77+Q78</f>
        <v>0</v>
      </c>
      <c r="R110" s="1248">
        <f>R77+R78</f>
        <v>0</v>
      </c>
      <c r="S110" s="1248">
        <f>S77+S78</f>
        <v>0</v>
      </c>
      <c r="IV110" s="1248"/>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topLeftCell="A6" workbookViewId="0">
      <selection activeCell="B23" sqref="B23"/>
    </sheetView>
  </sheetViews>
  <sheetFormatPr defaultColWidth="10" defaultRowHeight="12"/>
  <cols>
    <col min="1" max="1" width="9.42578125" style="1322" customWidth="1"/>
    <col min="2" max="2" width="20.85546875" style="1323" customWidth="1"/>
    <col min="3" max="3" width="35.5703125" style="1322" customWidth="1"/>
    <col min="4" max="4" width="12.85546875" style="1322" customWidth="1"/>
    <col min="5" max="5" width="10.42578125" style="1322" customWidth="1"/>
    <col min="6" max="6" width="16.42578125" style="1322" customWidth="1"/>
    <col min="7" max="7" width="12" style="1322" customWidth="1"/>
    <col min="8" max="8" width="14.28515625" style="1322" bestFit="1" customWidth="1"/>
    <col min="9" max="9" width="18.85546875" style="1322" customWidth="1"/>
    <col min="10" max="10" width="15.5703125" style="1322" customWidth="1"/>
    <col min="11" max="11" width="16.140625" style="1322" customWidth="1"/>
    <col min="12" max="13" width="15" style="1322" customWidth="1"/>
    <col min="14" max="14" width="13.5703125" style="1322" customWidth="1"/>
    <col min="15" max="15" width="15" style="1322" customWidth="1"/>
    <col min="16" max="17" width="17.5703125" style="1322" customWidth="1"/>
    <col min="18" max="18" width="33" style="1322" customWidth="1"/>
    <col min="19" max="19" width="15" style="1322" customWidth="1"/>
    <col min="20" max="21" width="14.5703125" style="1322" bestFit="1" customWidth="1"/>
    <col min="22" max="22" width="10.5703125" style="1322" bestFit="1" customWidth="1"/>
    <col min="23" max="256" width="10" style="1322"/>
    <col min="257" max="257" width="9.42578125" style="1322" customWidth="1"/>
    <col min="258" max="258" width="20.85546875" style="1322" customWidth="1"/>
    <col min="259" max="259" width="35.5703125" style="1322" customWidth="1"/>
    <col min="260" max="260" width="12.85546875" style="1322" customWidth="1"/>
    <col min="261" max="261" width="10.42578125" style="1322" customWidth="1"/>
    <col min="262" max="262" width="16.42578125" style="1322" customWidth="1"/>
    <col min="263" max="263" width="12" style="1322" customWidth="1"/>
    <col min="264" max="264" width="14.28515625" style="1322" bestFit="1" customWidth="1"/>
    <col min="265" max="265" width="18.85546875" style="1322" customWidth="1"/>
    <col min="266" max="266" width="15.5703125" style="1322" customWidth="1"/>
    <col min="267" max="267" width="16.140625" style="1322" customWidth="1"/>
    <col min="268" max="269" width="15" style="1322" customWidth="1"/>
    <col min="270" max="270" width="13.5703125" style="1322" customWidth="1"/>
    <col min="271" max="271" width="15" style="1322" customWidth="1"/>
    <col min="272" max="273" width="17.5703125" style="1322" customWidth="1"/>
    <col min="274" max="274" width="33" style="1322" customWidth="1"/>
    <col min="275" max="275" width="15" style="1322" customWidth="1"/>
    <col min="276" max="277" width="14.5703125" style="1322" bestFit="1" customWidth="1"/>
    <col min="278" max="278" width="10.5703125" style="1322" bestFit="1" customWidth="1"/>
    <col min="279" max="512" width="10" style="1322"/>
    <col min="513" max="513" width="9.42578125" style="1322" customWidth="1"/>
    <col min="514" max="514" width="20.85546875" style="1322" customWidth="1"/>
    <col min="515" max="515" width="35.5703125" style="1322" customWidth="1"/>
    <col min="516" max="516" width="12.85546875" style="1322" customWidth="1"/>
    <col min="517" max="517" width="10.42578125" style="1322" customWidth="1"/>
    <col min="518" max="518" width="16.42578125" style="1322" customWidth="1"/>
    <col min="519" max="519" width="12" style="1322" customWidth="1"/>
    <col min="520" max="520" width="14.28515625" style="1322" bestFit="1" customWidth="1"/>
    <col min="521" max="521" width="18.85546875" style="1322" customWidth="1"/>
    <col min="522" max="522" width="15.5703125" style="1322" customWidth="1"/>
    <col min="523" max="523" width="16.140625" style="1322" customWidth="1"/>
    <col min="524" max="525" width="15" style="1322" customWidth="1"/>
    <col min="526" max="526" width="13.5703125" style="1322" customWidth="1"/>
    <col min="527" max="527" width="15" style="1322" customWidth="1"/>
    <col min="528" max="529" width="17.5703125" style="1322" customWidth="1"/>
    <col min="530" max="530" width="33" style="1322" customWidth="1"/>
    <col min="531" max="531" width="15" style="1322" customWidth="1"/>
    <col min="532" max="533" width="14.5703125" style="1322" bestFit="1" customWidth="1"/>
    <col min="534" max="534" width="10.5703125" style="1322" bestFit="1" customWidth="1"/>
    <col min="535" max="768" width="10" style="1322"/>
    <col min="769" max="769" width="9.42578125" style="1322" customWidth="1"/>
    <col min="770" max="770" width="20.85546875" style="1322" customWidth="1"/>
    <col min="771" max="771" width="35.5703125" style="1322" customWidth="1"/>
    <col min="772" max="772" width="12.85546875" style="1322" customWidth="1"/>
    <col min="773" max="773" width="10.42578125" style="1322" customWidth="1"/>
    <col min="774" max="774" width="16.42578125" style="1322" customWidth="1"/>
    <col min="775" max="775" width="12" style="1322" customWidth="1"/>
    <col min="776" max="776" width="14.28515625" style="1322" bestFit="1" customWidth="1"/>
    <col min="777" max="777" width="18.85546875" style="1322" customWidth="1"/>
    <col min="778" max="778" width="15.5703125" style="1322" customWidth="1"/>
    <col min="779" max="779" width="16.140625" style="1322" customWidth="1"/>
    <col min="780" max="781" width="15" style="1322" customWidth="1"/>
    <col min="782" max="782" width="13.5703125" style="1322" customWidth="1"/>
    <col min="783" max="783" width="15" style="1322" customWidth="1"/>
    <col min="784" max="785" width="17.5703125" style="1322" customWidth="1"/>
    <col min="786" max="786" width="33" style="1322" customWidth="1"/>
    <col min="787" max="787" width="15" style="1322" customWidth="1"/>
    <col min="788" max="789" width="14.5703125" style="1322" bestFit="1" customWidth="1"/>
    <col min="790" max="790" width="10.5703125" style="1322" bestFit="1" customWidth="1"/>
    <col min="791" max="1024" width="10" style="1322"/>
    <col min="1025" max="1025" width="9.42578125" style="1322" customWidth="1"/>
    <col min="1026" max="1026" width="20.85546875" style="1322" customWidth="1"/>
    <col min="1027" max="1027" width="35.5703125" style="1322" customWidth="1"/>
    <col min="1028" max="1028" width="12.85546875" style="1322" customWidth="1"/>
    <col min="1029" max="1029" width="10.42578125" style="1322" customWidth="1"/>
    <col min="1030" max="1030" width="16.42578125" style="1322" customWidth="1"/>
    <col min="1031" max="1031" width="12" style="1322" customWidth="1"/>
    <col min="1032" max="1032" width="14.28515625" style="1322" bestFit="1" customWidth="1"/>
    <col min="1033" max="1033" width="18.85546875" style="1322" customWidth="1"/>
    <col min="1034" max="1034" width="15.5703125" style="1322" customWidth="1"/>
    <col min="1035" max="1035" width="16.140625" style="1322" customWidth="1"/>
    <col min="1036" max="1037" width="15" style="1322" customWidth="1"/>
    <col min="1038" max="1038" width="13.5703125" style="1322" customWidth="1"/>
    <col min="1039" max="1039" width="15" style="1322" customWidth="1"/>
    <col min="1040" max="1041" width="17.5703125" style="1322" customWidth="1"/>
    <col min="1042" max="1042" width="33" style="1322" customWidth="1"/>
    <col min="1043" max="1043" width="15" style="1322" customWidth="1"/>
    <col min="1044" max="1045" width="14.5703125" style="1322" bestFit="1" customWidth="1"/>
    <col min="1046" max="1046" width="10.5703125" style="1322" bestFit="1" customWidth="1"/>
    <col min="1047" max="1280" width="10" style="1322"/>
    <col min="1281" max="1281" width="9.42578125" style="1322" customWidth="1"/>
    <col min="1282" max="1282" width="20.85546875" style="1322" customWidth="1"/>
    <col min="1283" max="1283" width="35.5703125" style="1322" customWidth="1"/>
    <col min="1284" max="1284" width="12.85546875" style="1322" customWidth="1"/>
    <col min="1285" max="1285" width="10.42578125" style="1322" customWidth="1"/>
    <col min="1286" max="1286" width="16.42578125" style="1322" customWidth="1"/>
    <col min="1287" max="1287" width="12" style="1322" customWidth="1"/>
    <col min="1288" max="1288" width="14.28515625" style="1322" bestFit="1" customWidth="1"/>
    <col min="1289" max="1289" width="18.85546875" style="1322" customWidth="1"/>
    <col min="1290" max="1290" width="15.5703125" style="1322" customWidth="1"/>
    <col min="1291" max="1291" width="16.140625" style="1322" customWidth="1"/>
    <col min="1292" max="1293" width="15" style="1322" customWidth="1"/>
    <col min="1294" max="1294" width="13.5703125" style="1322" customWidth="1"/>
    <col min="1295" max="1295" width="15" style="1322" customWidth="1"/>
    <col min="1296" max="1297" width="17.5703125" style="1322" customWidth="1"/>
    <col min="1298" max="1298" width="33" style="1322" customWidth="1"/>
    <col min="1299" max="1299" width="15" style="1322" customWidth="1"/>
    <col min="1300" max="1301" width="14.5703125" style="1322" bestFit="1" customWidth="1"/>
    <col min="1302" max="1302" width="10.5703125" style="1322" bestFit="1" customWidth="1"/>
    <col min="1303" max="1536" width="10" style="1322"/>
    <col min="1537" max="1537" width="9.42578125" style="1322" customWidth="1"/>
    <col min="1538" max="1538" width="20.85546875" style="1322" customWidth="1"/>
    <col min="1539" max="1539" width="35.5703125" style="1322" customWidth="1"/>
    <col min="1540" max="1540" width="12.85546875" style="1322" customWidth="1"/>
    <col min="1541" max="1541" width="10.42578125" style="1322" customWidth="1"/>
    <col min="1542" max="1542" width="16.42578125" style="1322" customWidth="1"/>
    <col min="1543" max="1543" width="12" style="1322" customWidth="1"/>
    <col min="1544" max="1544" width="14.28515625" style="1322" bestFit="1" customWidth="1"/>
    <col min="1545" max="1545" width="18.85546875" style="1322" customWidth="1"/>
    <col min="1546" max="1546" width="15.5703125" style="1322" customWidth="1"/>
    <col min="1547" max="1547" width="16.140625" style="1322" customWidth="1"/>
    <col min="1548" max="1549" width="15" style="1322" customWidth="1"/>
    <col min="1550" max="1550" width="13.5703125" style="1322" customWidth="1"/>
    <col min="1551" max="1551" width="15" style="1322" customWidth="1"/>
    <col min="1552" max="1553" width="17.5703125" style="1322" customWidth="1"/>
    <col min="1554" max="1554" width="33" style="1322" customWidth="1"/>
    <col min="1555" max="1555" width="15" style="1322" customWidth="1"/>
    <col min="1556" max="1557" width="14.5703125" style="1322" bestFit="1" customWidth="1"/>
    <col min="1558" max="1558" width="10.5703125" style="1322" bestFit="1" customWidth="1"/>
    <col min="1559" max="1792" width="10" style="1322"/>
    <col min="1793" max="1793" width="9.42578125" style="1322" customWidth="1"/>
    <col min="1794" max="1794" width="20.85546875" style="1322" customWidth="1"/>
    <col min="1795" max="1795" width="35.5703125" style="1322" customWidth="1"/>
    <col min="1796" max="1796" width="12.85546875" style="1322" customWidth="1"/>
    <col min="1797" max="1797" width="10.42578125" style="1322" customWidth="1"/>
    <col min="1798" max="1798" width="16.42578125" style="1322" customWidth="1"/>
    <col min="1799" max="1799" width="12" style="1322" customWidth="1"/>
    <col min="1800" max="1800" width="14.28515625" style="1322" bestFit="1" customWidth="1"/>
    <col min="1801" max="1801" width="18.85546875" style="1322" customWidth="1"/>
    <col min="1802" max="1802" width="15.5703125" style="1322" customWidth="1"/>
    <col min="1803" max="1803" width="16.140625" style="1322" customWidth="1"/>
    <col min="1804" max="1805" width="15" style="1322" customWidth="1"/>
    <col min="1806" max="1806" width="13.5703125" style="1322" customWidth="1"/>
    <col min="1807" max="1807" width="15" style="1322" customWidth="1"/>
    <col min="1808" max="1809" width="17.5703125" style="1322" customWidth="1"/>
    <col min="1810" max="1810" width="33" style="1322" customWidth="1"/>
    <col min="1811" max="1811" width="15" style="1322" customWidth="1"/>
    <col min="1812" max="1813" width="14.5703125" style="1322" bestFit="1" customWidth="1"/>
    <col min="1814" max="1814" width="10.5703125" style="1322" bestFit="1" customWidth="1"/>
    <col min="1815" max="2048" width="10" style="1322"/>
    <col min="2049" max="2049" width="9.42578125" style="1322" customWidth="1"/>
    <col min="2050" max="2050" width="20.85546875" style="1322" customWidth="1"/>
    <col min="2051" max="2051" width="35.5703125" style="1322" customWidth="1"/>
    <col min="2052" max="2052" width="12.85546875" style="1322" customWidth="1"/>
    <col min="2053" max="2053" width="10.42578125" style="1322" customWidth="1"/>
    <col min="2054" max="2054" width="16.42578125" style="1322" customWidth="1"/>
    <col min="2055" max="2055" width="12" style="1322" customWidth="1"/>
    <col min="2056" max="2056" width="14.28515625" style="1322" bestFit="1" customWidth="1"/>
    <col min="2057" max="2057" width="18.85546875" style="1322" customWidth="1"/>
    <col min="2058" max="2058" width="15.5703125" style="1322" customWidth="1"/>
    <col min="2059" max="2059" width="16.140625" style="1322" customWidth="1"/>
    <col min="2060" max="2061" width="15" style="1322" customWidth="1"/>
    <col min="2062" max="2062" width="13.5703125" style="1322" customWidth="1"/>
    <col min="2063" max="2063" width="15" style="1322" customWidth="1"/>
    <col min="2064" max="2065" width="17.5703125" style="1322" customWidth="1"/>
    <col min="2066" max="2066" width="33" style="1322" customWidth="1"/>
    <col min="2067" max="2067" width="15" style="1322" customWidth="1"/>
    <col min="2068" max="2069" width="14.5703125" style="1322" bestFit="1" customWidth="1"/>
    <col min="2070" max="2070" width="10.5703125" style="1322" bestFit="1" customWidth="1"/>
    <col min="2071" max="2304" width="10" style="1322"/>
    <col min="2305" max="2305" width="9.42578125" style="1322" customWidth="1"/>
    <col min="2306" max="2306" width="20.85546875" style="1322" customWidth="1"/>
    <col min="2307" max="2307" width="35.5703125" style="1322" customWidth="1"/>
    <col min="2308" max="2308" width="12.85546875" style="1322" customWidth="1"/>
    <col min="2309" max="2309" width="10.42578125" style="1322" customWidth="1"/>
    <col min="2310" max="2310" width="16.42578125" style="1322" customWidth="1"/>
    <col min="2311" max="2311" width="12" style="1322" customWidth="1"/>
    <col min="2312" max="2312" width="14.28515625" style="1322" bestFit="1" customWidth="1"/>
    <col min="2313" max="2313" width="18.85546875" style="1322" customWidth="1"/>
    <col min="2314" max="2314" width="15.5703125" style="1322" customWidth="1"/>
    <col min="2315" max="2315" width="16.140625" style="1322" customWidth="1"/>
    <col min="2316" max="2317" width="15" style="1322" customWidth="1"/>
    <col min="2318" max="2318" width="13.5703125" style="1322" customWidth="1"/>
    <col min="2319" max="2319" width="15" style="1322" customWidth="1"/>
    <col min="2320" max="2321" width="17.5703125" style="1322" customWidth="1"/>
    <col min="2322" max="2322" width="33" style="1322" customWidth="1"/>
    <col min="2323" max="2323" width="15" style="1322" customWidth="1"/>
    <col min="2324" max="2325" width="14.5703125" style="1322" bestFit="1" customWidth="1"/>
    <col min="2326" max="2326" width="10.5703125" style="1322" bestFit="1" customWidth="1"/>
    <col min="2327" max="2560" width="10" style="1322"/>
    <col min="2561" max="2561" width="9.42578125" style="1322" customWidth="1"/>
    <col min="2562" max="2562" width="20.85546875" style="1322" customWidth="1"/>
    <col min="2563" max="2563" width="35.5703125" style="1322" customWidth="1"/>
    <col min="2564" max="2564" width="12.85546875" style="1322" customWidth="1"/>
    <col min="2565" max="2565" width="10.42578125" style="1322" customWidth="1"/>
    <col min="2566" max="2566" width="16.42578125" style="1322" customWidth="1"/>
    <col min="2567" max="2567" width="12" style="1322" customWidth="1"/>
    <col min="2568" max="2568" width="14.28515625" style="1322" bestFit="1" customWidth="1"/>
    <col min="2569" max="2569" width="18.85546875" style="1322" customWidth="1"/>
    <col min="2570" max="2570" width="15.5703125" style="1322" customWidth="1"/>
    <col min="2571" max="2571" width="16.140625" style="1322" customWidth="1"/>
    <col min="2572" max="2573" width="15" style="1322" customWidth="1"/>
    <col min="2574" max="2574" width="13.5703125" style="1322" customWidth="1"/>
    <col min="2575" max="2575" width="15" style="1322" customWidth="1"/>
    <col min="2576" max="2577" width="17.5703125" style="1322" customWidth="1"/>
    <col min="2578" max="2578" width="33" style="1322" customWidth="1"/>
    <col min="2579" max="2579" width="15" style="1322" customWidth="1"/>
    <col min="2580" max="2581" width="14.5703125" style="1322" bestFit="1" customWidth="1"/>
    <col min="2582" max="2582" width="10.5703125" style="1322" bestFit="1" customWidth="1"/>
    <col min="2583" max="2816" width="10" style="1322"/>
    <col min="2817" max="2817" width="9.42578125" style="1322" customWidth="1"/>
    <col min="2818" max="2818" width="20.85546875" style="1322" customWidth="1"/>
    <col min="2819" max="2819" width="35.5703125" style="1322" customWidth="1"/>
    <col min="2820" max="2820" width="12.85546875" style="1322" customWidth="1"/>
    <col min="2821" max="2821" width="10.42578125" style="1322" customWidth="1"/>
    <col min="2822" max="2822" width="16.42578125" style="1322" customWidth="1"/>
    <col min="2823" max="2823" width="12" style="1322" customWidth="1"/>
    <col min="2824" max="2824" width="14.28515625" style="1322" bestFit="1" customWidth="1"/>
    <col min="2825" max="2825" width="18.85546875" style="1322" customWidth="1"/>
    <col min="2826" max="2826" width="15.5703125" style="1322" customWidth="1"/>
    <col min="2827" max="2827" width="16.140625" style="1322" customWidth="1"/>
    <col min="2828" max="2829" width="15" style="1322" customWidth="1"/>
    <col min="2830" max="2830" width="13.5703125" style="1322" customWidth="1"/>
    <col min="2831" max="2831" width="15" style="1322" customWidth="1"/>
    <col min="2832" max="2833" width="17.5703125" style="1322" customWidth="1"/>
    <col min="2834" max="2834" width="33" style="1322" customWidth="1"/>
    <col min="2835" max="2835" width="15" style="1322" customWidth="1"/>
    <col min="2836" max="2837" width="14.5703125" style="1322" bestFit="1" customWidth="1"/>
    <col min="2838" max="2838" width="10.5703125" style="1322" bestFit="1" customWidth="1"/>
    <col min="2839" max="3072" width="10" style="1322"/>
    <col min="3073" max="3073" width="9.42578125" style="1322" customWidth="1"/>
    <col min="3074" max="3074" width="20.85546875" style="1322" customWidth="1"/>
    <col min="3075" max="3075" width="35.5703125" style="1322" customWidth="1"/>
    <col min="3076" max="3076" width="12.85546875" style="1322" customWidth="1"/>
    <col min="3077" max="3077" width="10.42578125" style="1322" customWidth="1"/>
    <col min="3078" max="3078" width="16.42578125" style="1322" customWidth="1"/>
    <col min="3079" max="3079" width="12" style="1322" customWidth="1"/>
    <col min="3080" max="3080" width="14.28515625" style="1322" bestFit="1" customWidth="1"/>
    <col min="3081" max="3081" width="18.85546875" style="1322" customWidth="1"/>
    <col min="3082" max="3082" width="15.5703125" style="1322" customWidth="1"/>
    <col min="3083" max="3083" width="16.140625" style="1322" customWidth="1"/>
    <col min="3084" max="3085" width="15" style="1322" customWidth="1"/>
    <col min="3086" max="3086" width="13.5703125" style="1322" customWidth="1"/>
    <col min="3087" max="3087" width="15" style="1322" customWidth="1"/>
    <col min="3088" max="3089" width="17.5703125" style="1322" customWidth="1"/>
    <col min="3090" max="3090" width="33" style="1322" customWidth="1"/>
    <col min="3091" max="3091" width="15" style="1322" customWidth="1"/>
    <col min="3092" max="3093" width="14.5703125" style="1322" bestFit="1" customWidth="1"/>
    <col min="3094" max="3094" width="10.5703125" style="1322" bestFit="1" customWidth="1"/>
    <col min="3095" max="3328" width="10" style="1322"/>
    <col min="3329" max="3329" width="9.42578125" style="1322" customWidth="1"/>
    <col min="3330" max="3330" width="20.85546875" style="1322" customWidth="1"/>
    <col min="3331" max="3331" width="35.5703125" style="1322" customWidth="1"/>
    <col min="3332" max="3332" width="12.85546875" style="1322" customWidth="1"/>
    <col min="3333" max="3333" width="10.42578125" style="1322" customWidth="1"/>
    <col min="3334" max="3334" width="16.42578125" style="1322" customWidth="1"/>
    <col min="3335" max="3335" width="12" style="1322" customWidth="1"/>
    <col min="3336" max="3336" width="14.28515625" style="1322" bestFit="1" customWidth="1"/>
    <col min="3337" max="3337" width="18.85546875" style="1322" customWidth="1"/>
    <col min="3338" max="3338" width="15.5703125" style="1322" customWidth="1"/>
    <col min="3339" max="3339" width="16.140625" style="1322" customWidth="1"/>
    <col min="3340" max="3341" width="15" style="1322" customWidth="1"/>
    <col min="3342" max="3342" width="13.5703125" style="1322" customWidth="1"/>
    <col min="3343" max="3343" width="15" style="1322" customWidth="1"/>
    <col min="3344" max="3345" width="17.5703125" style="1322" customWidth="1"/>
    <col min="3346" max="3346" width="33" style="1322" customWidth="1"/>
    <col min="3347" max="3347" width="15" style="1322" customWidth="1"/>
    <col min="3348" max="3349" width="14.5703125" style="1322" bestFit="1" customWidth="1"/>
    <col min="3350" max="3350" width="10.5703125" style="1322" bestFit="1" customWidth="1"/>
    <col min="3351" max="3584" width="10" style="1322"/>
    <col min="3585" max="3585" width="9.42578125" style="1322" customWidth="1"/>
    <col min="3586" max="3586" width="20.85546875" style="1322" customWidth="1"/>
    <col min="3587" max="3587" width="35.5703125" style="1322" customWidth="1"/>
    <col min="3588" max="3588" width="12.85546875" style="1322" customWidth="1"/>
    <col min="3589" max="3589" width="10.42578125" style="1322" customWidth="1"/>
    <col min="3590" max="3590" width="16.42578125" style="1322" customWidth="1"/>
    <col min="3591" max="3591" width="12" style="1322" customWidth="1"/>
    <col min="3592" max="3592" width="14.28515625" style="1322" bestFit="1" customWidth="1"/>
    <col min="3593" max="3593" width="18.85546875" style="1322" customWidth="1"/>
    <col min="3594" max="3594" width="15.5703125" style="1322" customWidth="1"/>
    <col min="3595" max="3595" width="16.140625" style="1322" customWidth="1"/>
    <col min="3596" max="3597" width="15" style="1322" customWidth="1"/>
    <col min="3598" max="3598" width="13.5703125" style="1322" customWidth="1"/>
    <col min="3599" max="3599" width="15" style="1322" customWidth="1"/>
    <col min="3600" max="3601" width="17.5703125" style="1322" customWidth="1"/>
    <col min="3602" max="3602" width="33" style="1322" customWidth="1"/>
    <col min="3603" max="3603" width="15" style="1322" customWidth="1"/>
    <col min="3604" max="3605" width="14.5703125" style="1322" bestFit="1" customWidth="1"/>
    <col min="3606" max="3606" width="10.5703125" style="1322" bestFit="1" customWidth="1"/>
    <col min="3607" max="3840" width="10" style="1322"/>
    <col min="3841" max="3841" width="9.42578125" style="1322" customWidth="1"/>
    <col min="3842" max="3842" width="20.85546875" style="1322" customWidth="1"/>
    <col min="3843" max="3843" width="35.5703125" style="1322" customWidth="1"/>
    <col min="3844" max="3844" width="12.85546875" style="1322" customWidth="1"/>
    <col min="3845" max="3845" width="10.42578125" style="1322" customWidth="1"/>
    <col min="3846" max="3846" width="16.42578125" style="1322" customWidth="1"/>
    <col min="3847" max="3847" width="12" style="1322" customWidth="1"/>
    <col min="3848" max="3848" width="14.28515625" style="1322" bestFit="1" customWidth="1"/>
    <col min="3849" max="3849" width="18.85546875" style="1322" customWidth="1"/>
    <col min="3850" max="3850" width="15.5703125" style="1322" customWidth="1"/>
    <col min="3851" max="3851" width="16.140625" style="1322" customWidth="1"/>
    <col min="3852" max="3853" width="15" style="1322" customWidth="1"/>
    <col min="3854" max="3854" width="13.5703125" style="1322" customWidth="1"/>
    <col min="3855" max="3855" width="15" style="1322" customWidth="1"/>
    <col min="3856" max="3857" width="17.5703125" style="1322" customWidth="1"/>
    <col min="3858" max="3858" width="33" style="1322" customWidth="1"/>
    <col min="3859" max="3859" width="15" style="1322" customWidth="1"/>
    <col min="3860" max="3861" width="14.5703125" style="1322" bestFit="1" customWidth="1"/>
    <col min="3862" max="3862" width="10.5703125" style="1322" bestFit="1" customWidth="1"/>
    <col min="3863" max="4096" width="10" style="1322"/>
    <col min="4097" max="4097" width="9.42578125" style="1322" customWidth="1"/>
    <col min="4098" max="4098" width="20.85546875" style="1322" customWidth="1"/>
    <col min="4099" max="4099" width="35.5703125" style="1322" customWidth="1"/>
    <col min="4100" max="4100" width="12.85546875" style="1322" customWidth="1"/>
    <col min="4101" max="4101" width="10.42578125" style="1322" customWidth="1"/>
    <col min="4102" max="4102" width="16.42578125" style="1322" customWidth="1"/>
    <col min="4103" max="4103" width="12" style="1322" customWidth="1"/>
    <col min="4104" max="4104" width="14.28515625" style="1322" bestFit="1" customWidth="1"/>
    <col min="4105" max="4105" width="18.85546875" style="1322" customWidth="1"/>
    <col min="4106" max="4106" width="15.5703125" style="1322" customWidth="1"/>
    <col min="4107" max="4107" width="16.140625" style="1322" customWidth="1"/>
    <col min="4108" max="4109" width="15" style="1322" customWidth="1"/>
    <col min="4110" max="4110" width="13.5703125" style="1322" customWidth="1"/>
    <col min="4111" max="4111" width="15" style="1322" customWidth="1"/>
    <col min="4112" max="4113" width="17.5703125" style="1322" customWidth="1"/>
    <col min="4114" max="4114" width="33" style="1322" customWidth="1"/>
    <col min="4115" max="4115" width="15" style="1322" customWidth="1"/>
    <col min="4116" max="4117" width="14.5703125" style="1322" bestFit="1" customWidth="1"/>
    <col min="4118" max="4118" width="10.5703125" style="1322" bestFit="1" customWidth="1"/>
    <col min="4119" max="4352" width="10" style="1322"/>
    <col min="4353" max="4353" width="9.42578125" style="1322" customWidth="1"/>
    <col min="4354" max="4354" width="20.85546875" style="1322" customWidth="1"/>
    <col min="4355" max="4355" width="35.5703125" style="1322" customWidth="1"/>
    <col min="4356" max="4356" width="12.85546875" style="1322" customWidth="1"/>
    <col min="4357" max="4357" width="10.42578125" style="1322" customWidth="1"/>
    <col min="4358" max="4358" width="16.42578125" style="1322" customWidth="1"/>
    <col min="4359" max="4359" width="12" style="1322" customWidth="1"/>
    <col min="4360" max="4360" width="14.28515625" style="1322" bestFit="1" customWidth="1"/>
    <col min="4361" max="4361" width="18.85546875" style="1322" customWidth="1"/>
    <col min="4362" max="4362" width="15.5703125" style="1322" customWidth="1"/>
    <col min="4363" max="4363" width="16.140625" style="1322" customWidth="1"/>
    <col min="4364" max="4365" width="15" style="1322" customWidth="1"/>
    <col min="4366" max="4366" width="13.5703125" style="1322" customWidth="1"/>
    <col min="4367" max="4367" width="15" style="1322" customWidth="1"/>
    <col min="4368" max="4369" width="17.5703125" style="1322" customWidth="1"/>
    <col min="4370" max="4370" width="33" style="1322" customWidth="1"/>
    <col min="4371" max="4371" width="15" style="1322" customWidth="1"/>
    <col min="4372" max="4373" width="14.5703125" style="1322" bestFit="1" customWidth="1"/>
    <col min="4374" max="4374" width="10.5703125" style="1322" bestFit="1" customWidth="1"/>
    <col min="4375" max="4608" width="10" style="1322"/>
    <col min="4609" max="4609" width="9.42578125" style="1322" customWidth="1"/>
    <col min="4610" max="4610" width="20.85546875" style="1322" customWidth="1"/>
    <col min="4611" max="4611" width="35.5703125" style="1322" customWidth="1"/>
    <col min="4612" max="4612" width="12.85546875" style="1322" customWidth="1"/>
    <col min="4613" max="4613" width="10.42578125" style="1322" customWidth="1"/>
    <col min="4614" max="4614" width="16.42578125" style="1322" customWidth="1"/>
    <col min="4615" max="4615" width="12" style="1322" customWidth="1"/>
    <col min="4616" max="4616" width="14.28515625" style="1322" bestFit="1" customWidth="1"/>
    <col min="4617" max="4617" width="18.85546875" style="1322" customWidth="1"/>
    <col min="4618" max="4618" width="15.5703125" style="1322" customWidth="1"/>
    <col min="4619" max="4619" width="16.140625" style="1322" customWidth="1"/>
    <col min="4620" max="4621" width="15" style="1322" customWidth="1"/>
    <col min="4622" max="4622" width="13.5703125" style="1322" customWidth="1"/>
    <col min="4623" max="4623" width="15" style="1322" customWidth="1"/>
    <col min="4624" max="4625" width="17.5703125" style="1322" customWidth="1"/>
    <col min="4626" max="4626" width="33" style="1322" customWidth="1"/>
    <col min="4627" max="4627" width="15" style="1322" customWidth="1"/>
    <col min="4628" max="4629" width="14.5703125" style="1322" bestFit="1" customWidth="1"/>
    <col min="4630" max="4630" width="10.5703125" style="1322" bestFit="1" customWidth="1"/>
    <col min="4631" max="4864" width="10" style="1322"/>
    <col min="4865" max="4865" width="9.42578125" style="1322" customWidth="1"/>
    <col min="4866" max="4866" width="20.85546875" style="1322" customWidth="1"/>
    <col min="4867" max="4867" width="35.5703125" style="1322" customWidth="1"/>
    <col min="4868" max="4868" width="12.85546875" style="1322" customWidth="1"/>
    <col min="4869" max="4869" width="10.42578125" style="1322" customWidth="1"/>
    <col min="4870" max="4870" width="16.42578125" style="1322" customWidth="1"/>
    <col min="4871" max="4871" width="12" style="1322" customWidth="1"/>
    <col min="4872" max="4872" width="14.28515625" style="1322" bestFit="1" customWidth="1"/>
    <col min="4873" max="4873" width="18.85546875" style="1322" customWidth="1"/>
    <col min="4874" max="4874" width="15.5703125" style="1322" customWidth="1"/>
    <col min="4875" max="4875" width="16.140625" style="1322" customWidth="1"/>
    <col min="4876" max="4877" width="15" style="1322" customWidth="1"/>
    <col min="4878" max="4878" width="13.5703125" style="1322" customWidth="1"/>
    <col min="4879" max="4879" width="15" style="1322" customWidth="1"/>
    <col min="4880" max="4881" width="17.5703125" style="1322" customWidth="1"/>
    <col min="4882" max="4882" width="33" style="1322" customWidth="1"/>
    <col min="4883" max="4883" width="15" style="1322" customWidth="1"/>
    <col min="4884" max="4885" width="14.5703125" style="1322" bestFit="1" customWidth="1"/>
    <col min="4886" max="4886" width="10.5703125" style="1322" bestFit="1" customWidth="1"/>
    <col min="4887" max="5120" width="10" style="1322"/>
    <col min="5121" max="5121" width="9.42578125" style="1322" customWidth="1"/>
    <col min="5122" max="5122" width="20.85546875" style="1322" customWidth="1"/>
    <col min="5123" max="5123" width="35.5703125" style="1322" customWidth="1"/>
    <col min="5124" max="5124" width="12.85546875" style="1322" customWidth="1"/>
    <col min="5125" max="5125" width="10.42578125" style="1322" customWidth="1"/>
    <col min="5126" max="5126" width="16.42578125" style="1322" customWidth="1"/>
    <col min="5127" max="5127" width="12" style="1322" customWidth="1"/>
    <col min="5128" max="5128" width="14.28515625" style="1322" bestFit="1" customWidth="1"/>
    <col min="5129" max="5129" width="18.85546875" style="1322" customWidth="1"/>
    <col min="5130" max="5130" width="15.5703125" style="1322" customWidth="1"/>
    <col min="5131" max="5131" width="16.140625" style="1322" customWidth="1"/>
    <col min="5132" max="5133" width="15" style="1322" customWidth="1"/>
    <col min="5134" max="5134" width="13.5703125" style="1322" customWidth="1"/>
    <col min="5135" max="5135" width="15" style="1322" customWidth="1"/>
    <col min="5136" max="5137" width="17.5703125" style="1322" customWidth="1"/>
    <col min="5138" max="5138" width="33" style="1322" customWidth="1"/>
    <col min="5139" max="5139" width="15" style="1322" customWidth="1"/>
    <col min="5140" max="5141" width="14.5703125" style="1322" bestFit="1" customWidth="1"/>
    <col min="5142" max="5142" width="10.5703125" style="1322" bestFit="1" customWidth="1"/>
    <col min="5143" max="5376" width="10" style="1322"/>
    <col min="5377" max="5377" width="9.42578125" style="1322" customWidth="1"/>
    <col min="5378" max="5378" width="20.85546875" style="1322" customWidth="1"/>
    <col min="5379" max="5379" width="35.5703125" style="1322" customWidth="1"/>
    <col min="5380" max="5380" width="12.85546875" style="1322" customWidth="1"/>
    <col min="5381" max="5381" width="10.42578125" style="1322" customWidth="1"/>
    <col min="5382" max="5382" width="16.42578125" style="1322" customWidth="1"/>
    <col min="5383" max="5383" width="12" style="1322" customWidth="1"/>
    <col min="5384" max="5384" width="14.28515625" style="1322" bestFit="1" customWidth="1"/>
    <col min="5385" max="5385" width="18.85546875" style="1322" customWidth="1"/>
    <col min="5386" max="5386" width="15.5703125" style="1322" customWidth="1"/>
    <col min="5387" max="5387" width="16.140625" style="1322" customWidth="1"/>
    <col min="5388" max="5389" width="15" style="1322" customWidth="1"/>
    <col min="5390" max="5390" width="13.5703125" style="1322" customWidth="1"/>
    <col min="5391" max="5391" width="15" style="1322" customWidth="1"/>
    <col min="5392" max="5393" width="17.5703125" style="1322" customWidth="1"/>
    <col min="5394" max="5394" width="33" style="1322" customWidth="1"/>
    <col min="5395" max="5395" width="15" style="1322" customWidth="1"/>
    <col min="5396" max="5397" width="14.5703125" style="1322" bestFit="1" customWidth="1"/>
    <col min="5398" max="5398" width="10.5703125" style="1322" bestFit="1" customWidth="1"/>
    <col min="5399" max="5632" width="10" style="1322"/>
    <col min="5633" max="5633" width="9.42578125" style="1322" customWidth="1"/>
    <col min="5634" max="5634" width="20.85546875" style="1322" customWidth="1"/>
    <col min="5635" max="5635" width="35.5703125" style="1322" customWidth="1"/>
    <col min="5636" max="5636" width="12.85546875" style="1322" customWidth="1"/>
    <col min="5637" max="5637" width="10.42578125" style="1322" customWidth="1"/>
    <col min="5638" max="5638" width="16.42578125" style="1322" customWidth="1"/>
    <col min="5639" max="5639" width="12" style="1322" customWidth="1"/>
    <col min="5640" max="5640" width="14.28515625" style="1322" bestFit="1" customWidth="1"/>
    <col min="5641" max="5641" width="18.85546875" style="1322" customWidth="1"/>
    <col min="5642" max="5642" width="15.5703125" style="1322" customWidth="1"/>
    <col min="5643" max="5643" width="16.140625" style="1322" customWidth="1"/>
    <col min="5644" max="5645" width="15" style="1322" customWidth="1"/>
    <col min="5646" max="5646" width="13.5703125" style="1322" customWidth="1"/>
    <col min="5647" max="5647" width="15" style="1322" customWidth="1"/>
    <col min="5648" max="5649" width="17.5703125" style="1322" customWidth="1"/>
    <col min="5650" max="5650" width="33" style="1322" customWidth="1"/>
    <col min="5651" max="5651" width="15" style="1322" customWidth="1"/>
    <col min="5652" max="5653" width="14.5703125" style="1322" bestFit="1" customWidth="1"/>
    <col min="5654" max="5654" width="10.5703125" style="1322" bestFit="1" customWidth="1"/>
    <col min="5655" max="5888" width="10" style="1322"/>
    <col min="5889" max="5889" width="9.42578125" style="1322" customWidth="1"/>
    <col min="5890" max="5890" width="20.85546875" style="1322" customWidth="1"/>
    <col min="5891" max="5891" width="35.5703125" style="1322" customWidth="1"/>
    <col min="5892" max="5892" width="12.85546875" style="1322" customWidth="1"/>
    <col min="5893" max="5893" width="10.42578125" style="1322" customWidth="1"/>
    <col min="5894" max="5894" width="16.42578125" style="1322" customWidth="1"/>
    <col min="5895" max="5895" width="12" style="1322" customWidth="1"/>
    <col min="5896" max="5896" width="14.28515625" style="1322" bestFit="1" customWidth="1"/>
    <col min="5897" max="5897" width="18.85546875" style="1322" customWidth="1"/>
    <col min="5898" max="5898" width="15.5703125" style="1322" customWidth="1"/>
    <col min="5899" max="5899" width="16.140625" style="1322" customWidth="1"/>
    <col min="5900" max="5901" width="15" style="1322" customWidth="1"/>
    <col min="5902" max="5902" width="13.5703125" style="1322" customWidth="1"/>
    <col min="5903" max="5903" width="15" style="1322" customWidth="1"/>
    <col min="5904" max="5905" width="17.5703125" style="1322" customWidth="1"/>
    <col min="5906" max="5906" width="33" style="1322" customWidth="1"/>
    <col min="5907" max="5907" width="15" style="1322" customWidth="1"/>
    <col min="5908" max="5909" width="14.5703125" style="1322" bestFit="1" customWidth="1"/>
    <col min="5910" max="5910" width="10.5703125" style="1322" bestFit="1" customWidth="1"/>
    <col min="5911" max="6144" width="10" style="1322"/>
    <col min="6145" max="6145" width="9.42578125" style="1322" customWidth="1"/>
    <col min="6146" max="6146" width="20.85546875" style="1322" customWidth="1"/>
    <col min="6147" max="6147" width="35.5703125" style="1322" customWidth="1"/>
    <col min="6148" max="6148" width="12.85546875" style="1322" customWidth="1"/>
    <col min="6149" max="6149" width="10.42578125" style="1322" customWidth="1"/>
    <col min="6150" max="6150" width="16.42578125" style="1322" customWidth="1"/>
    <col min="6151" max="6151" width="12" style="1322" customWidth="1"/>
    <col min="6152" max="6152" width="14.28515625" style="1322" bestFit="1" customWidth="1"/>
    <col min="6153" max="6153" width="18.85546875" style="1322" customWidth="1"/>
    <col min="6154" max="6154" width="15.5703125" style="1322" customWidth="1"/>
    <col min="6155" max="6155" width="16.140625" style="1322" customWidth="1"/>
    <col min="6156" max="6157" width="15" style="1322" customWidth="1"/>
    <col min="6158" max="6158" width="13.5703125" style="1322" customWidth="1"/>
    <col min="6159" max="6159" width="15" style="1322" customWidth="1"/>
    <col min="6160" max="6161" width="17.5703125" style="1322" customWidth="1"/>
    <col min="6162" max="6162" width="33" style="1322" customWidth="1"/>
    <col min="6163" max="6163" width="15" style="1322" customWidth="1"/>
    <col min="6164" max="6165" width="14.5703125" style="1322" bestFit="1" customWidth="1"/>
    <col min="6166" max="6166" width="10.5703125" style="1322" bestFit="1" customWidth="1"/>
    <col min="6167" max="6400" width="10" style="1322"/>
    <col min="6401" max="6401" width="9.42578125" style="1322" customWidth="1"/>
    <col min="6402" max="6402" width="20.85546875" style="1322" customWidth="1"/>
    <col min="6403" max="6403" width="35.5703125" style="1322" customWidth="1"/>
    <col min="6404" max="6404" width="12.85546875" style="1322" customWidth="1"/>
    <col min="6405" max="6405" width="10.42578125" style="1322" customWidth="1"/>
    <col min="6406" max="6406" width="16.42578125" style="1322" customWidth="1"/>
    <col min="6407" max="6407" width="12" style="1322" customWidth="1"/>
    <col min="6408" max="6408" width="14.28515625" style="1322" bestFit="1" customWidth="1"/>
    <col min="6409" max="6409" width="18.85546875" style="1322" customWidth="1"/>
    <col min="6410" max="6410" width="15.5703125" style="1322" customWidth="1"/>
    <col min="6411" max="6411" width="16.140625" style="1322" customWidth="1"/>
    <col min="6412" max="6413" width="15" style="1322" customWidth="1"/>
    <col min="6414" max="6414" width="13.5703125" style="1322" customWidth="1"/>
    <col min="6415" max="6415" width="15" style="1322" customWidth="1"/>
    <col min="6416" max="6417" width="17.5703125" style="1322" customWidth="1"/>
    <col min="6418" max="6418" width="33" style="1322" customWidth="1"/>
    <col min="6419" max="6419" width="15" style="1322" customWidth="1"/>
    <col min="6420" max="6421" width="14.5703125" style="1322" bestFit="1" customWidth="1"/>
    <col min="6422" max="6422" width="10.5703125" style="1322" bestFit="1" customWidth="1"/>
    <col min="6423" max="6656" width="10" style="1322"/>
    <col min="6657" max="6657" width="9.42578125" style="1322" customWidth="1"/>
    <col min="6658" max="6658" width="20.85546875" style="1322" customWidth="1"/>
    <col min="6659" max="6659" width="35.5703125" style="1322" customWidth="1"/>
    <col min="6660" max="6660" width="12.85546875" style="1322" customWidth="1"/>
    <col min="6661" max="6661" width="10.42578125" style="1322" customWidth="1"/>
    <col min="6662" max="6662" width="16.42578125" style="1322" customWidth="1"/>
    <col min="6663" max="6663" width="12" style="1322" customWidth="1"/>
    <col min="6664" max="6664" width="14.28515625" style="1322" bestFit="1" customWidth="1"/>
    <col min="6665" max="6665" width="18.85546875" style="1322" customWidth="1"/>
    <col min="6666" max="6666" width="15.5703125" style="1322" customWidth="1"/>
    <col min="6667" max="6667" width="16.140625" style="1322" customWidth="1"/>
    <col min="6668" max="6669" width="15" style="1322" customWidth="1"/>
    <col min="6670" max="6670" width="13.5703125" style="1322" customWidth="1"/>
    <col min="6671" max="6671" width="15" style="1322" customWidth="1"/>
    <col min="6672" max="6673" width="17.5703125" style="1322" customWidth="1"/>
    <col min="6674" max="6674" width="33" style="1322" customWidth="1"/>
    <col min="6675" max="6675" width="15" style="1322" customWidth="1"/>
    <col min="6676" max="6677" width="14.5703125" style="1322" bestFit="1" customWidth="1"/>
    <col min="6678" max="6678" width="10.5703125" style="1322" bestFit="1" customWidth="1"/>
    <col min="6679" max="6912" width="10" style="1322"/>
    <col min="6913" max="6913" width="9.42578125" style="1322" customWidth="1"/>
    <col min="6914" max="6914" width="20.85546875" style="1322" customWidth="1"/>
    <col min="6915" max="6915" width="35.5703125" style="1322" customWidth="1"/>
    <col min="6916" max="6916" width="12.85546875" style="1322" customWidth="1"/>
    <col min="6917" max="6917" width="10.42578125" style="1322" customWidth="1"/>
    <col min="6918" max="6918" width="16.42578125" style="1322" customWidth="1"/>
    <col min="6919" max="6919" width="12" style="1322" customWidth="1"/>
    <col min="6920" max="6920" width="14.28515625" style="1322" bestFit="1" customWidth="1"/>
    <col min="6921" max="6921" width="18.85546875" style="1322" customWidth="1"/>
    <col min="6922" max="6922" width="15.5703125" style="1322" customWidth="1"/>
    <col min="6923" max="6923" width="16.140625" style="1322" customWidth="1"/>
    <col min="6924" max="6925" width="15" style="1322" customWidth="1"/>
    <col min="6926" max="6926" width="13.5703125" style="1322" customWidth="1"/>
    <col min="6927" max="6927" width="15" style="1322" customWidth="1"/>
    <col min="6928" max="6929" width="17.5703125" style="1322" customWidth="1"/>
    <col min="6930" max="6930" width="33" style="1322" customWidth="1"/>
    <col min="6931" max="6931" width="15" style="1322" customWidth="1"/>
    <col min="6932" max="6933" width="14.5703125" style="1322" bestFit="1" customWidth="1"/>
    <col min="6934" max="6934" width="10.5703125" style="1322" bestFit="1" customWidth="1"/>
    <col min="6935" max="7168" width="10" style="1322"/>
    <col min="7169" max="7169" width="9.42578125" style="1322" customWidth="1"/>
    <col min="7170" max="7170" width="20.85546875" style="1322" customWidth="1"/>
    <col min="7171" max="7171" width="35.5703125" style="1322" customWidth="1"/>
    <col min="7172" max="7172" width="12.85546875" style="1322" customWidth="1"/>
    <col min="7173" max="7173" width="10.42578125" style="1322" customWidth="1"/>
    <col min="7174" max="7174" width="16.42578125" style="1322" customWidth="1"/>
    <col min="7175" max="7175" width="12" style="1322" customWidth="1"/>
    <col min="7176" max="7176" width="14.28515625" style="1322" bestFit="1" customWidth="1"/>
    <col min="7177" max="7177" width="18.85546875" style="1322" customWidth="1"/>
    <col min="7178" max="7178" width="15.5703125" style="1322" customWidth="1"/>
    <col min="7179" max="7179" width="16.140625" style="1322" customWidth="1"/>
    <col min="7180" max="7181" width="15" style="1322" customWidth="1"/>
    <col min="7182" max="7182" width="13.5703125" style="1322" customWidth="1"/>
    <col min="7183" max="7183" width="15" style="1322" customWidth="1"/>
    <col min="7184" max="7185" width="17.5703125" style="1322" customWidth="1"/>
    <col min="7186" max="7186" width="33" style="1322" customWidth="1"/>
    <col min="7187" max="7187" width="15" style="1322" customWidth="1"/>
    <col min="7188" max="7189" width="14.5703125" style="1322" bestFit="1" customWidth="1"/>
    <col min="7190" max="7190" width="10.5703125" style="1322" bestFit="1" customWidth="1"/>
    <col min="7191" max="7424" width="10" style="1322"/>
    <col min="7425" max="7425" width="9.42578125" style="1322" customWidth="1"/>
    <col min="7426" max="7426" width="20.85546875" style="1322" customWidth="1"/>
    <col min="7427" max="7427" width="35.5703125" style="1322" customWidth="1"/>
    <col min="7428" max="7428" width="12.85546875" style="1322" customWidth="1"/>
    <col min="7429" max="7429" width="10.42578125" style="1322" customWidth="1"/>
    <col min="7430" max="7430" width="16.42578125" style="1322" customWidth="1"/>
    <col min="7431" max="7431" width="12" style="1322" customWidth="1"/>
    <col min="7432" max="7432" width="14.28515625" style="1322" bestFit="1" customWidth="1"/>
    <col min="7433" max="7433" width="18.85546875" style="1322" customWidth="1"/>
    <col min="7434" max="7434" width="15.5703125" style="1322" customWidth="1"/>
    <col min="7435" max="7435" width="16.140625" style="1322" customWidth="1"/>
    <col min="7436" max="7437" width="15" style="1322" customWidth="1"/>
    <col min="7438" max="7438" width="13.5703125" style="1322" customWidth="1"/>
    <col min="7439" max="7439" width="15" style="1322" customWidth="1"/>
    <col min="7440" max="7441" width="17.5703125" style="1322" customWidth="1"/>
    <col min="7442" max="7442" width="33" style="1322" customWidth="1"/>
    <col min="7443" max="7443" width="15" style="1322" customWidth="1"/>
    <col min="7444" max="7445" width="14.5703125" style="1322" bestFit="1" customWidth="1"/>
    <col min="7446" max="7446" width="10.5703125" style="1322" bestFit="1" customWidth="1"/>
    <col min="7447" max="7680" width="10" style="1322"/>
    <col min="7681" max="7681" width="9.42578125" style="1322" customWidth="1"/>
    <col min="7682" max="7682" width="20.85546875" style="1322" customWidth="1"/>
    <col min="7683" max="7683" width="35.5703125" style="1322" customWidth="1"/>
    <col min="7684" max="7684" width="12.85546875" style="1322" customWidth="1"/>
    <col min="7685" max="7685" width="10.42578125" style="1322" customWidth="1"/>
    <col min="7686" max="7686" width="16.42578125" style="1322" customWidth="1"/>
    <col min="7687" max="7687" width="12" style="1322" customWidth="1"/>
    <col min="7688" max="7688" width="14.28515625" style="1322" bestFit="1" customWidth="1"/>
    <col min="7689" max="7689" width="18.85546875" style="1322" customWidth="1"/>
    <col min="7690" max="7690" width="15.5703125" style="1322" customWidth="1"/>
    <col min="7691" max="7691" width="16.140625" style="1322" customWidth="1"/>
    <col min="7692" max="7693" width="15" style="1322" customWidth="1"/>
    <col min="7694" max="7694" width="13.5703125" style="1322" customWidth="1"/>
    <col min="7695" max="7695" width="15" style="1322" customWidth="1"/>
    <col min="7696" max="7697" width="17.5703125" style="1322" customWidth="1"/>
    <col min="7698" max="7698" width="33" style="1322" customWidth="1"/>
    <col min="7699" max="7699" width="15" style="1322" customWidth="1"/>
    <col min="7700" max="7701" width="14.5703125" style="1322" bestFit="1" customWidth="1"/>
    <col min="7702" max="7702" width="10.5703125" style="1322" bestFit="1" customWidth="1"/>
    <col min="7703" max="7936" width="10" style="1322"/>
    <col min="7937" max="7937" width="9.42578125" style="1322" customWidth="1"/>
    <col min="7938" max="7938" width="20.85546875" style="1322" customWidth="1"/>
    <col min="7939" max="7939" width="35.5703125" style="1322" customWidth="1"/>
    <col min="7940" max="7940" width="12.85546875" style="1322" customWidth="1"/>
    <col min="7941" max="7941" width="10.42578125" style="1322" customWidth="1"/>
    <col min="7942" max="7942" width="16.42578125" style="1322" customWidth="1"/>
    <col min="7943" max="7943" width="12" style="1322" customWidth="1"/>
    <col min="7944" max="7944" width="14.28515625" style="1322" bestFit="1" customWidth="1"/>
    <col min="7945" max="7945" width="18.85546875" style="1322" customWidth="1"/>
    <col min="7946" max="7946" width="15.5703125" style="1322" customWidth="1"/>
    <col min="7947" max="7947" width="16.140625" style="1322" customWidth="1"/>
    <col min="7948" max="7949" width="15" style="1322" customWidth="1"/>
    <col min="7950" max="7950" width="13.5703125" style="1322" customWidth="1"/>
    <col min="7951" max="7951" width="15" style="1322" customWidth="1"/>
    <col min="7952" max="7953" width="17.5703125" style="1322" customWidth="1"/>
    <col min="7954" max="7954" width="33" style="1322" customWidth="1"/>
    <col min="7955" max="7955" width="15" style="1322" customWidth="1"/>
    <col min="7956" max="7957" width="14.5703125" style="1322" bestFit="1" customWidth="1"/>
    <col min="7958" max="7958" width="10.5703125" style="1322" bestFit="1" customWidth="1"/>
    <col min="7959" max="8192" width="10" style="1322"/>
    <col min="8193" max="8193" width="9.42578125" style="1322" customWidth="1"/>
    <col min="8194" max="8194" width="20.85546875" style="1322" customWidth="1"/>
    <col min="8195" max="8195" width="35.5703125" style="1322" customWidth="1"/>
    <col min="8196" max="8196" width="12.85546875" style="1322" customWidth="1"/>
    <col min="8197" max="8197" width="10.42578125" style="1322" customWidth="1"/>
    <col min="8198" max="8198" width="16.42578125" style="1322" customWidth="1"/>
    <col min="8199" max="8199" width="12" style="1322" customWidth="1"/>
    <col min="8200" max="8200" width="14.28515625" style="1322" bestFit="1" customWidth="1"/>
    <col min="8201" max="8201" width="18.85546875" style="1322" customWidth="1"/>
    <col min="8202" max="8202" width="15.5703125" style="1322" customWidth="1"/>
    <col min="8203" max="8203" width="16.140625" style="1322" customWidth="1"/>
    <col min="8204" max="8205" width="15" style="1322" customWidth="1"/>
    <col min="8206" max="8206" width="13.5703125" style="1322" customWidth="1"/>
    <col min="8207" max="8207" width="15" style="1322" customWidth="1"/>
    <col min="8208" max="8209" width="17.5703125" style="1322" customWidth="1"/>
    <col min="8210" max="8210" width="33" style="1322" customWidth="1"/>
    <col min="8211" max="8211" width="15" style="1322" customWidth="1"/>
    <col min="8212" max="8213" width="14.5703125" style="1322" bestFit="1" customWidth="1"/>
    <col min="8214" max="8214" width="10.5703125" style="1322" bestFit="1" customWidth="1"/>
    <col min="8215" max="8448" width="10" style="1322"/>
    <col min="8449" max="8449" width="9.42578125" style="1322" customWidth="1"/>
    <col min="8450" max="8450" width="20.85546875" style="1322" customWidth="1"/>
    <col min="8451" max="8451" width="35.5703125" style="1322" customWidth="1"/>
    <col min="8452" max="8452" width="12.85546875" style="1322" customWidth="1"/>
    <col min="8453" max="8453" width="10.42578125" style="1322" customWidth="1"/>
    <col min="8454" max="8454" width="16.42578125" style="1322" customWidth="1"/>
    <col min="8455" max="8455" width="12" style="1322" customWidth="1"/>
    <col min="8456" max="8456" width="14.28515625" style="1322" bestFit="1" customWidth="1"/>
    <col min="8457" max="8457" width="18.85546875" style="1322" customWidth="1"/>
    <col min="8458" max="8458" width="15.5703125" style="1322" customWidth="1"/>
    <col min="8459" max="8459" width="16.140625" style="1322" customWidth="1"/>
    <col min="8460" max="8461" width="15" style="1322" customWidth="1"/>
    <col min="8462" max="8462" width="13.5703125" style="1322" customWidth="1"/>
    <col min="8463" max="8463" width="15" style="1322" customWidth="1"/>
    <col min="8464" max="8465" width="17.5703125" style="1322" customWidth="1"/>
    <col min="8466" max="8466" width="33" style="1322" customWidth="1"/>
    <col min="8467" max="8467" width="15" style="1322" customWidth="1"/>
    <col min="8468" max="8469" width="14.5703125" style="1322" bestFit="1" customWidth="1"/>
    <col min="8470" max="8470" width="10.5703125" style="1322" bestFit="1" customWidth="1"/>
    <col min="8471" max="8704" width="10" style="1322"/>
    <col min="8705" max="8705" width="9.42578125" style="1322" customWidth="1"/>
    <col min="8706" max="8706" width="20.85546875" style="1322" customWidth="1"/>
    <col min="8707" max="8707" width="35.5703125" style="1322" customWidth="1"/>
    <col min="8708" max="8708" width="12.85546875" style="1322" customWidth="1"/>
    <col min="8709" max="8709" width="10.42578125" style="1322" customWidth="1"/>
    <col min="8710" max="8710" width="16.42578125" style="1322" customWidth="1"/>
    <col min="8711" max="8711" width="12" style="1322" customWidth="1"/>
    <col min="8712" max="8712" width="14.28515625" style="1322" bestFit="1" customWidth="1"/>
    <col min="8713" max="8713" width="18.85546875" style="1322" customWidth="1"/>
    <col min="8714" max="8714" width="15.5703125" style="1322" customWidth="1"/>
    <col min="8715" max="8715" width="16.140625" style="1322" customWidth="1"/>
    <col min="8716" max="8717" width="15" style="1322" customWidth="1"/>
    <col min="8718" max="8718" width="13.5703125" style="1322" customWidth="1"/>
    <col min="8719" max="8719" width="15" style="1322" customWidth="1"/>
    <col min="8720" max="8721" width="17.5703125" style="1322" customWidth="1"/>
    <col min="8722" max="8722" width="33" style="1322" customWidth="1"/>
    <col min="8723" max="8723" width="15" style="1322" customWidth="1"/>
    <col min="8724" max="8725" width="14.5703125" style="1322" bestFit="1" customWidth="1"/>
    <col min="8726" max="8726" width="10.5703125" style="1322" bestFit="1" customWidth="1"/>
    <col min="8727" max="8960" width="10" style="1322"/>
    <col min="8961" max="8961" width="9.42578125" style="1322" customWidth="1"/>
    <col min="8962" max="8962" width="20.85546875" style="1322" customWidth="1"/>
    <col min="8963" max="8963" width="35.5703125" style="1322" customWidth="1"/>
    <col min="8964" max="8964" width="12.85546875" style="1322" customWidth="1"/>
    <col min="8965" max="8965" width="10.42578125" style="1322" customWidth="1"/>
    <col min="8966" max="8966" width="16.42578125" style="1322" customWidth="1"/>
    <col min="8967" max="8967" width="12" style="1322" customWidth="1"/>
    <col min="8968" max="8968" width="14.28515625" style="1322" bestFit="1" customWidth="1"/>
    <col min="8969" max="8969" width="18.85546875" style="1322" customWidth="1"/>
    <col min="8970" max="8970" width="15.5703125" style="1322" customWidth="1"/>
    <col min="8971" max="8971" width="16.140625" style="1322" customWidth="1"/>
    <col min="8972" max="8973" width="15" style="1322" customWidth="1"/>
    <col min="8974" max="8974" width="13.5703125" style="1322" customWidth="1"/>
    <col min="8975" max="8975" width="15" style="1322" customWidth="1"/>
    <col min="8976" max="8977" width="17.5703125" style="1322" customWidth="1"/>
    <col min="8978" max="8978" width="33" style="1322" customWidth="1"/>
    <col min="8979" max="8979" width="15" style="1322" customWidth="1"/>
    <col min="8980" max="8981" width="14.5703125" style="1322" bestFit="1" customWidth="1"/>
    <col min="8982" max="8982" width="10.5703125" style="1322" bestFit="1" customWidth="1"/>
    <col min="8983" max="9216" width="10" style="1322"/>
    <col min="9217" max="9217" width="9.42578125" style="1322" customWidth="1"/>
    <col min="9218" max="9218" width="20.85546875" style="1322" customWidth="1"/>
    <col min="9219" max="9219" width="35.5703125" style="1322" customWidth="1"/>
    <col min="9220" max="9220" width="12.85546875" style="1322" customWidth="1"/>
    <col min="9221" max="9221" width="10.42578125" style="1322" customWidth="1"/>
    <col min="9222" max="9222" width="16.42578125" style="1322" customWidth="1"/>
    <col min="9223" max="9223" width="12" style="1322" customWidth="1"/>
    <col min="9224" max="9224" width="14.28515625" style="1322" bestFit="1" customWidth="1"/>
    <col min="9225" max="9225" width="18.85546875" style="1322" customWidth="1"/>
    <col min="9226" max="9226" width="15.5703125" style="1322" customWidth="1"/>
    <col min="9227" max="9227" width="16.140625" style="1322" customWidth="1"/>
    <col min="9228" max="9229" width="15" style="1322" customWidth="1"/>
    <col min="9230" max="9230" width="13.5703125" style="1322" customWidth="1"/>
    <col min="9231" max="9231" width="15" style="1322" customWidth="1"/>
    <col min="9232" max="9233" width="17.5703125" style="1322" customWidth="1"/>
    <col min="9234" max="9234" width="33" style="1322" customWidth="1"/>
    <col min="9235" max="9235" width="15" style="1322" customWidth="1"/>
    <col min="9236" max="9237" width="14.5703125" style="1322" bestFit="1" customWidth="1"/>
    <col min="9238" max="9238" width="10.5703125" style="1322" bestFit="1" customWidth="1"/>
    <col min="9239" max="9472" width="10" style="1322"/>
    <col min="9473" max="9473" width="9.42578125" style="1322" customWidth="1"/>
    <col min="9474" max="9474" width="20.85546875" style="1322" customWidth="1"/>
    <col min="9475" max="9475" width="35.5703125" style="1322" customWidth="1"/>
    <col min="9476" max="9476" width="12.85546875" style="1322" customWidth="1"/>
    <col min="9477" max="9477" width="10.42578125" style="1322" customWidth="1"/>
    <col min="9478" max="9478" width="16.42578125" style="1322" customWidth="1"/>
    <col min="9479" max="9479" width="12" style="1322" customWidth="1"/>
    <col min="9480" max="9480" width="14.28515625" style="1322" bestFit="1" customWidth="1"/>
    <col min="9481" max="9481" width="18.85546875" style="1322" customWidth="1"/>
    <col min="9482" max="9482" width="15.5703125" style="1322" customWidth="1"/>
    <col min="9483" max="9483" width="16.140625" style="1322" customWidth="1"/>
    <col min="9484" max="9485" width="15" style="1322" customWidth="1"/>
    <col min="9486" max="9486" width="13.5703125" style="1322" customWidth="1"/>
    <col min="9487" max="9487" width="15" style="1322" customWidth="1"/>
    <col min="9488" max="9489" width="17.5703125" style="1322" customWidth="1"/>
    <col min="9490" max="9490" width="33" style="1322" customWidth="1"/>
    <col min="9491" max="9491" width="15" style="1322" customWidth="1"/>
    <col min="9492" max="9493" width="14.5703125" style="1322" bestFit="1" customWidth="1"/>
    <col min="9494" max="9494" width="10.5703125" style="1322" bestFit="1" customWidth="1"/>
    <col min="9495" max="9728" width="10" style="1322"/>
    <col min="9729" max="9729" width="9.42578125" style="1322" customWidth="1"/>
    <col min="9730" max="9730" width="20.85546875" style="1322" customWidth="1"/>
    <col min="9731" max="9731" width="35.5703125" style="1322" customWidth="1"/>
    <col min="9732" max="9732" width="12.85546875" style="1322" customWidth="1"/>
    <col min="9733" max="9733" width="10.42578125" style="1322" customWidth="1"/>
    <col min="9734" max="9734" width="16.42578125" style="1322" customWidth="1"/>
    <col min="9735" max="9735" width="12" style="1322" customWidth="1"/>
    <col min="9736" max="9736" width="14.28515625" style="1322" bestFit="1" customWidth="1"/>
    <col min="9737" max="9737" width="18.85546875" style="1322" customWidth="1"/>
    <col min="9738" max="9738" width="15.5703125" style="1322" customWidth="1"/>
    <col min="9739" max="9739" width="16.140625" style="1322" customWidth="1"/>
    <col min="9740" max="9741" width="15" style="1322" customWidth="1"/>
    <col min="9742" max="9742" width="13.5703125" style="1322" customWidth="1"/>
    <col min="9743" max="9743" width="15" style="1322" customWidth="1"/>
    <col min="9744" max="9745" width="17.5703125" style="1322" customWidth="1"/>
    <col min="9746" max="9746" width="33" style="1322" customWidth="1"/>
    <col min="9747" max="9747" width="15" style="1322" customWidth="1"/>
    <col min="9748" max="9749" width="14.5703125" style="1322" bestFit="1" customWidth="1"/>
    <col min="9750" max="9750" width="10.5703125" style="1322" bestFit="1" customWidth="1"/>
    <col min="9751" max="9984" width="10" style="1322"/>
    <col min="9985" max="9985" width="9.42578125" style="1322" customWidth="1"/>
    <col min="9986" max="9986" width="20.85546875" style="1322" customWidth="1"/>
    <col min="9987" max="9987" width="35.5703125" style="1322" customWidth="1"/>
    <col min="9988" max="9988" width="12.85546875" style="1322" customWidth="1"/>
    <col min="9989" max="9989" width="10.42578125" style="1322" customWidth="1"/>
    <col min="9990" max="9990" width="16.42578125" style="1322" customWidth="1"/>
    <col min="9991" max="9991" width="12" style="1322" customWidth="1"/>
    <col min="9992" max="9992" width="14.28515625" style="1322" bestFit="1" customWidth="1"/>
    <col min="9993" max="9993" width="18.85546875" style="1322" customWidth="1"/>
    <col min="9994" max="9994" width="15.5703125" style="1322" customWidth="1"/>
    <col min="9995" max="9995" width="16.140625" style="1322" customWidth="1"/>
    <col min="9996" max="9997" width="15" style="1322" customWidth="1"/>
    <col min="9998" max="9998" width="13.5703125" style="1322" customWidth="1"/>
    <col min="9999" max="9999" width="15" style="1322" customWidth="1"/>
    <col min="10000" max="10001" width="17.5703125" style="1322" customWidth="1"/>
    <col min="10002" max="10002" width="33" style="1322" customWidth="1"/>
    <col min="10003" max="10003" width="15" style="1322" customWidth="1"/>
    <col min="10004" max="10005" width="14.5703125" style="1322" bestFit="1" customWidth="1"/>
    <col min="10006" max="10006" width="10.5703125" style="1322" bestFit="1" customWidth="1"/>
    <col min="10007" max="10240" width="10" style="1322"/>
    <col min="10241" max="10241" width="9.42578125" style="1322" customWidth="1"/>
    <col min="10242" max="10242" width="20.85546875" style="1322" customWidth="1"/>
    <col min="10243" max="10243" width="35.5703125" style="1322" customWidth="1"/>
    <col min="10244" max="10244" width="12.85546875" style="1322" customWidth="1"/>
    <col min="10245" max="10245" width="10.42578125" style="1322" customWidth="1"/>
    <col min="10246" max="10246" width="16.42578125" style="1322" customWidth="1"/>
    <col min="10247" max="10247" width="12" style="1322" customWidth="1"/>
    <col min="10248" max="10248" width="14.28515625" style="1322" bestFit="1" customWidth="1"/>
    <col min="10249" max="10249" width="18.85546875" style="1322" customWidth="1"/>
    <col min="10250" max="10250" width="15.5703125" style="1322" customWidth="1"/>
    <col min="10251" max="10251" width="16.140625" style="1322" customWidth="1"/>
    <col min="10252" max="10253" width="15" style="1322" customWidth="1"/>
    <col min="10254" max="10254" width="13.5703125" style="1322" customWidth="1"/>
    <col min="10255" max="10255" width="15" style="1322" customWidth="1"/>
    <col min="10256" max="10257" width="17.5703125" style="1322" customWidth="1"/>
    <col min="10258" max="10258" width="33" style="1322" customWidth="1"/>
    <col min="10259" max="10259" width="15" style="1322" customWidth="1"/>
    <col min="10260" max="10261" width="14.5703125" style="1322" bestFit="1" customWidth="1"/>
    <col min="10262" max="10262" width="10.5703125" style="1322" bestFit="1" customWidth="1"/>
    <col min="10263" max="10496" width="10" style="1322"/>
    <col min="10497" max="10497" width="9.42578125" style="1322" customWidth="1"/>
    <col min="10498" max="10498" width="20.85546875" style="1322" customWidth="1"/>
    <col min="10499" max="10499" width="35.5703125" style="1322" customWidth="1"/>
    <col min="10500" max="10500" width="12.85546875" style="1322" customWidth="1"/>
    <col min="10501" max="10501" width="10.42578125" style="1322" customWidth="1"/>
    <col min="10502" max="10502" width="16.42578125" style="1322" customWidth="1"/>
    <col min="10503" max="10503" width="12" style="1322" customWidth="1"/>
    <col min="10504" max="10504" width="14.28515625" style="1322" bestFit="1" customWidth="1"/>
    <col min="10505" max="10505" width="18.85546875" style="1322" customWidth="1"/>
    <col min="10506" max="10506" width="15.5703125" style="1322" customWidth="1"/>
    <col min="10507" max="10507" width="16.140625" style="1322" customWidth="1"/>
    <col min="10508" max="10509" width="15" style="1322" customWidth="1"/>
    <col min="10510" max="10510" width="13.5703125" style="1322" customWidth="1"/>
    <col min="10511" max="10511" width="15" style="1322" customWidth="1"/>
    <col min="10512" max="10513" width="17.5703125" style="1322" customWidth="1"/>
    <col min="10514" max="10514" width="33" style="1322" customWidth="1"/>
    <col min="10515" max="10515" width="15" style="1322" customWidth="1"/>
    <col min="10516" max="10517" width="14.5703125" style="1322" bestFit="1" customWidth="1"/>
    <col min="10518" max="10518" width="10.5703125" style="1322" bestFit="1" customWidth="1"/>
    <col min="10519" max="10752" width="10" style="1322"/>
    <col min="10753" max="10753" width="9.42578125" style="1322" customWidth="1"/>
    <col min="10754" max="10754" width="20.85546875" style="1322" customWidth="1"/>
    <col min="10755" max="10755" width="35.5703125" style="1322" customWidth="1"/>
    <col min="10756" max="10756" width="12.85546875" style="1322" customWidth="1"/>
    <col min="10757" max="10757" width="10.42578125" style="1322" customWidth="1"/>
    <col min="10758" max="10758" width="16.42578125" style="1322" customWidth="1"/>
    <col min="10759" max="10759" width="12" style="1322" customWidth="1"/>
    <col min="10760" max="10760" width="14.28515625" style="1322" bestFit="1" customWidth="1"/>
    <col min="10761" max="10761" width="18.85546875" style="1322" customWidth="1"/>
    <col min="10762" max="10762" width="15.5703125" style="1322" customWidth="1"/>
    <col min="10763" max="10763" width="16.140625" style="1322" customWidth="1"/>
    <col min="10764" max="10765" width="15" style="1322" customWidth="1"/>
    <col min="10766" max="10766" width="13.5703125" style="1322" customWidth="1"/>
    <col min="10767" max="10767" width="15" style="1322" customWidth="1"/>
    <col min="10768" max="10769" width="17.5703125" style="1322" customWidth="1"/>
    <col min="10770" max="10770" width="33" style="1322" customWidth="1"/>
    <col min="10771" max="10771" width="15" style="1322" customWidth="1"/>
    <col min="10772" max="10773" width="14.5703125" style="1322" bestFit="1" customWidth="1"/>
    <col min="10774" max="10774" width="10.5703125" style="1322" bestFit="1" customWidth="1"/>
    <col min="10775" max="11008" width="10" style="1322"/>
    <col min="11009" max="11009" width="9.42578125" style="1322" customWidth="1"/>
    <col min="11010" max="11010" width="20.85546875" style="1322" customWidth="1"/>
    <col min="11011" max="11011" width="35.5703125" style="1322" customWidth="1"/>
    <col min="11012" max="11012" width="12.85546875" style="1322" customWidth="1"/>
    <col min="11013" max="11013" width="10.42578125" style="1322" customWidth="1"/>
    <col min="11014" max="11014" width="16.42578125" style="1322" customWidth="1"/>
    <col min="11015" max="11015" width="12" style="1322" customWidth="1"/>
    <col min="11016" max="11016" width="14.28515625" style="1322" bestFit="1" customWidth="1"/>
    <col min="11017" max="11017" width="18.85546875" style="1322" customWidth="1"/>
    <col min="11018" max="11018" width="15.5703125" style="1322" customWidth="1"/>
    <col min="11019" max="11019" width="16.140625" style="1322" customWidth="1"/>
    <col min="11020" max="11021" width="15" style="1322" customWidth="1"/>
    <col min="11022" max="11022" width="13.5703125" style="1322" customWidth="1"/>
    <col min="11023" max="11023" width="15" style="1322" customWidth="1"/>
    <col min="11024" max="11025" width="17.5703125" style="1322" customWidth="1"/>
    <col min="11026" max="11026" width="33" style="1322" customWidth="1"/>
    <col min="11027" max="11027" width="15" style="1322" customWidth="1"/>
    <col min="11028" max="11029" width="14.5703125" style="1322" bestFit="1" customWidth="1"/>
    <col min="11030" max="11030" width="10.5703125" style="1322" bestFit="1" customWidth="1"/>
    <col min="11031" max="11264" width="10" style="1322"/>
    <col min="11265" max="11265" width="9.42578125" style="1322" customWidth="1"/>
    <col min="11266" max="11266" width="20.85546875" style="1322" customWidth="1"/>
    <col min="11267" max="11267" width="35.5703125" style="1322" customWidth="1"/>
    <col min="11268" max="11268" width="12.85546875" style="1322" customWidth="1"/>
    <col min="11269" max="11269" width="10.42578125" style="1322" customWidth="1"/>
    <col min="11270" max="11270" width="16.42578125" style="1322" customWidth="1"/>
    <col min="11271" max="11271" width="12" style="1322" customWidth="1"/>
    <col min="11272" max="11272" width="14.28515625" style="1322" bestFit="1" customWidth="1"/>
    <col min="11273" max="11273" width="18.85546875" style="1322" customWidth="1"/>
    <col min="11274" max="11274" width="15.5703125" style="1322" customWidth="1"/>
    <col min="11275" max="11275" width="16.140625" style="1322" customWidth="1"/>
    <col min="11276" max="11277" width="15" style="1322" customWidth="1"/>
    <col min="11278" max="11278" width="13.5703125" style="1322" customWidth="1"/>
    <col min="11279" max="11279" width="15" style="1322" customWidth="1"/>
    <col min="11280" max="11281" width="17.5703125" style="1322" customWidth="1"/>
    <col min="11282" max="11282" width="33" style="1322" customWidth="1"/>
    <col min="11283" max="11283" width="15" style="1322" customWidth="1"/>
    <col min="11284" max="11285" width="14.5703125" style="1322" bestFit="1" customWidth="1"/>
    <col min="11286" max="11286" width="10.5703125" style="1322" bestFit="1" customWidth="1"/>
    <col min="11287" max="11520" width="10" style="1322"/>
    <col min="11521" max="11521" width="9.42578125" style="1322" customWidth="1"/>
    <col min="11522" max="11522" width="20.85546875" style="1322" customWidth="1"/>
    <col min="11523" max="11523" width="35.5703125" style="1322" customWidth="1"/>
    <col min="11524" max="11524" width="12.85546875" style="1322" customWidth="1"/>
    <col min="11525" max="11525" width="10.42578125" style="1322" customWidth="1"/>
    <col min="11526" max="11526" width="16.42578125" style="1322" customWidth="1"/>
    <col min="11527" max="11527" width="12" style="1322" customWidth="1"/>
    <col min="11528" max="11528" width="14.28515625" style="1322" bestFit="1" customWidth="1"/>
    <col min="11529" max="11529" width="18.85546875" style="1322" customWidth="1"/>
    <col min="11530" max="11530" width="15.5703125" style="1322" customWidth="1"/>
    <col min="11531" max="11531" width="16.140625" style="1322" customWidth="1"/>
    <col min="11532" max="11533" width="15" style="1322" customWidth="1"/>
    <col min="11534" max="11534" width="13.5703125" style="1322" customWidth="1"/>
    <col min="11535" max="11535" width="15" style="1322" customWidth="1"/>
    <col min="11536" max="11537" width="17.5703125" style="1322" customWidth="1"/>
    <col min="11538" max="11538" width="33" style="1322" customWidth="1"/>
    <col min="11539" max="11539" width="15" style="1322" customWidth="1"/>
    <col min="11540" max="11541" width="14.5703125" style="1322" bestFit="1" customWidth="1"/>
    <col min="11542" max="11542" width="10.5703125" style="1322" bestFit="1" customWidth="1"/>
    <col min="11543" max="11776" width="10" style="1322"/>
    <col min="11777" max="11777" width="9.42578125" style="1322" customWidth="1"/>
    <col min="11778" max="11778" width="20.85546875" style="1322" customWidth="1"/>
    <col min="11779" max="11779" width="35.5703125" style="1322" customWidth="1"/>
    <col min="11780" max="11780" width="12.85546875" style="1322" customWidth="1"/>
    <col min="11781" max="11781" width="10.42578125" style="1322" customWidth="1"/>
    <col min="11782" max="11782" width="16.42578125" style="1322" customWidth="1"/>
    <col min="11783" max="11783" width="12" style="1322" customWidth="1"/>
    <col min="11784" max="11784" width="14.28515625" style="1322" bestFit="1" customWidth="1"/>
    <col min="11785" max="11785" width="18.85546875" style="1322" customWidth="1"/>
    <col min="11786" max="11786" width="15.5703125" style="1322" customWidth="1"/>
    <col min="11787" max="11787" width="16.140625" style="1322" customWidth="1"/>
    <col min="11788" max="11789" width="15" style="1322" customWidth="1"/>
    <col min="11790" max="11790" width="13.5703125" style="1322" customWidth="1"/>
    <col min="11791" max="11791" width="15" style="1322" customWidth="1"/>
    <col min="11792" max="11793" width="17.5703125" style="1322" customWidth="1"/>
    <col min="11794" max="11794" width="33" style="1322" customWidth="1"/>
    <col min="11795" max="11795" width="15" style="1322" customWidth="1"/>
    <col min="11796" max="11797" width="14.5703125" style="1322" bestFit="1" customWidth="1"/>
    <col min="11798" max="11798" width="10.5703125" style="1322" bestFit="1" customWidth="1"/>
    <col min="11799" max="12032" width="10" style="1322"/>
    <col min="12033" max="12033" width="9.42578125" style="1322" customWidth="1"/>
    <col min="12034" max="12034" width="20.85546875" style="1322" customWidth="1"/>
    <col min="12035" max="12035" width="35.5703125" style="1322" customWidth="1"/>
    <col min="12036" max="12036" width="12.85546875" style="1322" customWidth="1"/>
    <col min="12037" max="12037" width="10.42578125" style="1322" customWidth="1"/>
    <col min="12038" max="12038" width="16.42578125" style="1322" customWidth="1"/>
    <col min="12039" max="12039" width="12" style="1322" customWidth="1"/>
    <col min="12040" max="12040" width="14.28515625" style="1322" bestFit="1" customWidth="1"/>
    <col min="12041" max="12041" width="18.85546875" style="1322" customWidth="1"/>
    <col min="12042" max="12042" width="15.5703125" style="1322" customWidth="1"/>
    <col min="12043" max="12043" width="16.140625" style="1322" customWidth="1"/>
    <col min="12044" max="12045" width="15" style="1322" customWidth="1"/>
    <col min="12046" max="12046" width="13.5703125" style="1322" customWidth="1"/>
    <col min="12047" max="12047" width="15" style="1322" customWidth="1"/>
    <col min="12048" max="12049" width="17.5703125" style="1322" customWidth="1"/>
    <col min="12050" max="12050" width="33" style="1322" customWidth="1"/>
    <col min="12051" max="12051" width="15" style="1322" customWidth="1"/>
    <col min="12052" max="12053" width="14.5703125" style="1322" bestFit="1" customWidth="1"/>
    <col min="12054" max="12054" width="10.5703125" style="1322" bestFit="1" customWidth="1"/>
    <col min="12055" max="12288" width="10" style="1322"/>
    <col min="12289" max="12289" width="9.42578125" style="1322" customWidth="1"/>
    <col min="12290" max="12290" width="20.85546875" style="1322" customWidth="1"/>
    <col min="12291" max="12291" width="35.5703125" style="1322" customWidth="1"/>
    <col min="12292" max="12292" width="12.85546875" style="1322" customWidth="1"/>
    <col min="12293" max="12293" width="10.42578125" style="1322" customWidth="1"/>
    <col min="12294" max="12294" width="16.42578125" style="1322" customWidth="1"/>
    <col min="12295" max="12295" width="12" style="1322" customWidth="1"/>
    <col min="12296" max="12296" width="14.28515625" style="1322" bestFit="1" customWidth="1"/>
    <col min="12297" max="12297" width="18.85546875" style="1322" customWidth="1"/>
    <col min="12298" max="12298" width="15.5703125" style="1322" customWidth="1"/>
    <col min="12299" max="12299" width="16.140625" style="1322" customWidth="1"/>
    <col min="12300" max="12301" width="15" style="1322" customWidth="1"/>
    <col min="12302" max="12302" width="13.5703125" style="1322" customWidth="1"/>
    <col min="12303" max="12303" width="15" style="1322" customWidth="1"/>
    <col min="12304" max="12305" width="17.5703125" style="1322" customWidth="1"/>
    <col min="12306" max="12306" width="33" style="1322" customWidth="1"/>
    <col min="12307" max="12307" width="15" style="1322" customWidth="1"/>
    <col min="12308" max="12309" width="14.5703125" style="1322" bestFit="1" customWidth="1"/>
    <col min="12310" max="12310" width="10.5703125" style="1322" bestFit="1" customWidth="1"/>
    <col min="12311" max="12544" width="10" style="1322"/>
    <col min="12545" max="12545" width="9.42578125" style="1322" customWidth="1"/>
    <col min="12546" max="12546" width="20.85546875" style="1322" customWidth="1"/>
    <col min="12547" max="12547" width="35.5703125" style="1322" customWidth="1"/>
    <col min="12548" max="12548" width="12.85546875" style="1322" customWidth="1"/>
    <col min="12549" max="12549" width="10.42578125" style="1322" customWidth="1"/>
    <col min="12550" max="12550" width="16.42578125" style="1322" customWidth="1"/>
    <col min="12551" max="12551" width="12" style="1322" customWidth="1"/>
    <col min="12552" max="12552" width="14.28515625" style="1322" bestFit="1" customWidth="1"/>
    <col min="12553" max="12553" width="18.85546875" style="1322" customWidth="1"/>
    <col min="12554" max="12554" width="15.5703125" style="1322" customWidth="1"/>
    <col min="12555" max="12555" width="16.140625" style="1322" customWidth="1"/>
    <col min="12556" max="12557" width="15" style="1322" customWidth="1"/>
    <col min="12558" max="12558" width="13.5703125" style="1322" customWidth="1"/>
    <col min="12559" max="12559" width="15" style="1322" customWidth="1"/>
    <col min="12560" max="12561" width="17.5703125" style="1322" customWidth="1"/>
    <col min="12562" max="12562" width="33" style="1322" customWidth="1"/>
    <col min="12563" max="12563" width="15" style="1322" customWidth="1"/>
    <col min="12564" max="12565" width="14.5703125" style="1322" bestFit="1" customWidth="1"/>
    <col min="12566" max="12566" width="10.5703125" style="1322" bestFit="1" customWidth="1"/>
    <col min="12567" max="12800" width="10" style="1322"/>
    <col min="12801" max="12801" width="9.42578125" style="1322" customWidth="1"/>
    <col min="12802" max="12802" width="20.85546875" style="1322" customWidth="1"/>
    <col min="12803" max="12803" width="35.5703125" style="1322" customWidth="1"/>
    <col min="12804" max="12804" width="12.85546875" style="1322" customWidth="1"/>
    <col min="12805" max="12805" width="10.42578125" style="1322" customWidth="1"/>
    <col min="12806" max="12806" width="16.42578125" style="1322" customWidth="1"/>
    <col min="12807" max="12807" width="12" style="1322" customWidth="1"/>
    <col min="12808" max="12808" width="14.28515625" style="1322" bestFit="1" customWidth="1"/>
    <col min="12809" max="12809" width="18.85546875" style="1322" customWidth="1"/>
    <col min="12810" max="12810" width="15.5703125" style="1322" customWidth="1"/>
    <col min="12811" max="12811" width="16.140625" style="1322" customWidth="1"/>
    <col min="12812" max="12813" width="15" style="1322" customWidth="1"/>
    <col min="12814" max="12814" width="13.5703125" style="1322" customWidth="1"/>
    <col min="12815" max="12815" width="15" style="1322" customWidth="1"/>
    <col min="12816" max="12817" width="17.5703125" style="1322" customWidth="1"/>
    <col min="12818" max="12818" width="33" style="1322" customWidth="1"/>
    <col min="12819" max="12819" width="15" style="1322" customWidth="1"/>
    <col min="12820" max="12821" width="14.5703125" style="1322" bestFit="1" customWidth="1"/>
    <col min="12822" max="12822" width="10.5703125" style="1322" bestFit="1" customWidth="1"/>
    <col min="12823" max="13056" width="10" style="1322"/>
    <col min="13057" max="13057" width="9.42578125" style="1322" customWidth="1"/>
    <col min="13058" max="13058" width="20.85546875" style="1322" customWidth="1"/>
    <col min="13059" max="13059" width="35.5703125" style="1322" customWidth="1"/>
    <col min="13060" max="13060" width="12.85546875" style="1322" customWidth="1"/>
    <col min="13061" max="13061" width="10.42578125" style="1322" customWidth="1"/>
    <col min="13062" max="13062" width="16.42578125" style="1322" customWidth="1"/>
    <col min="13063" max="13063" width="12" style="1322" customWidth="1"/>
    <col min="13064" max="13064" width="14.28515625" style="1322" bestFit="1" customWidth="1"/>
    <col min="13065" max="13065" width="18.85546875" style="1322" customWidth="1"/>
    <col min="13066" max="13066" width="15.5703125" style="1322" customWidth="1"/>
    <col min="13067" max="13067" width="16.140625" style="1322" customWidth="1"/>
    <col min="13068" max="13069" width="15" style="1322" customWidth="1"/>
    <col min="13070" max="13070" width="13.5703125" style="1322" customWidth="1"/>
    <col min="13071" max="13071" width="15" style="1322" customWidth="1"/>
    <col min="13072" max="13073" width="17.5703125" style="1322" customWidth="1"/>
    <col min="13074" max="13074" width="33" style="1322" customWidth="1"/>
    <col min="13075" max="13075" width="15" style="1322" customWidth="1"/>
    <col min="13076" max="13077" width="14.5703125" style="1322" bestFit="1" customWidth="1"/>
    <col min="13078" max="13078" width="10.5703125" style="1322" bestFit="1" customWidth="1"/>
    <col min="13079" max="13312" width="10" style="1322"/>
    <col min="13313" max="13313" width="9.42578125" style="1322" customWidth="1"/>
    <col min="13314" max="13314" width="20.85546875" style="1322" customWidth="1"/>
    <col min="13315" max="13315" width="35.5703125" style="1322" customWidth="1"/>
    <col min="13316" max="13316" width="12.85546875" style="1322" customWidth="1"/>
    <col min="13317" max="13317" width="10.42578125" style="1322" customWidth="1"/>
    <col min="13318" max="13318" width="16.42578125" style="1322" customWidth="1"/>
    <col min="13319" max="13319" width="12" style="1322" customWidth="1"/>
    <col min="13320" max="13320" width="14.28515625" style="1322" bestFit="1" customWidth="1"/>
    <col min="13321" max="13321" width="18.85546875" style="1322" customWidth="1"/>
    <col min="13322" max="13322" width="15.5703125" style="1322" customWidth="1"/>
    <col min="13323" max="13323" width="16.140625" style="1322" customWidth="1"/>
    <col min="13324" max="13325" width="15" style="1322" customWidth="1"/>
    <col min="13326" max="13326" width="13.5703125" style="1322" customWidth="1"/>
    <col min="13327" max="13327" width="15" style="1322" customWidth="1"/>
    <col min="13328" max="13329" width="17.5703125" style="1322" customWidth="1"/>
    <col min="13330" max="13330" width="33" style="1322" customWidth="1"/>
    <col min="13331" max="13331" width="15" style="1322" customWidth="1"/>
    <col min="13332" max="13333" width="14.5703125" style="1322" bestFit="1" customWidth="1"/>
    <col min="13334" max="13334" width="10.5703125" style="1322" bestFit="1" customWidth="1"/>
    <col min="13335" max="13568" width="10" style="1322"/>
    <col min="13569" max="13569" width="9.42578125" style="1322" customWidth="1"/>
    <col min="13570" max="13570" width="20.85546875" style="1322" customWidth="1"/>
    <col min="13571" max="13571" width="35.5703125" style="1322" customWidth="1"/>
    <col min="13572" max="13572" width="12.85546875" style="1322" customWidth="1"/>
    <col min="13573" max="13573" width="10.42578125" style="1322" customWidth="1"/>
    <col min="13574" max="13574" width="16.42578125" style="1322" customWidth="1"/>
    <col min="13575" max="13575" width="12" style="1322" customWidth="1"/>
    <col min="13576" max="13576" width="14.28515625" style="1322" bestFit="1" customWidth="1"/>
    <col min="13577" max="13577" width="18.85546875" style="1322" customWidth="1"/>
    <col min="13578" max="13578" width="15.5703125" style="1322" customWidth="1"/>
    <col min="13579" max="13579" width="16.140625" style="1322" customWidth="1"/>
    <col min="13580" max="13581" width="15" style="1322" customWidth="1"/>
    <col min="13582" max="13582" width="13.5703125" style="1322" customWidth="1"/>
    <col min="13583" max="13583" width="15" style="1322" customWidth="1"/>
    <col min="13584" max="13585" width="17.5703125" style="1322" customWidth="1"/>
    <col min="13586" max="13586" width="33" style="1322" customWidth="1"/>
    <col min="13587" max="13587" width="15" style="1322" customWidth="1"/>
    <col min="13588" max="13589" width="14.5703125" style="1322" bestFit="1" customWidth="1"/>
    <col min="13590" max="13590" width="10.5703125" style="1322" bestFit="1" customWidth="1"/>
    <col min="13591" max="13824" width="10" style="1322"/>
    <col min="13825" max="13825" width="9.42578125" style="1322" customWidth="1"/>
    <col min="13826" max="13826" width="20.85546875" style="1322" customWidth="1"/>
    <col min="13827" max="13827" width="35.5703125" style="1322" customWidth="1"/>
    <col min="13828" max="13828" width="12.85546875" style="1322" customWidth="1"/>
    <col min="13829" max="13829" width="10.42578125" style="1322" customWidth="1"/>
    <col min="13830" max="13830" width="16.42578125" style="1322" customWidth="1"/>
    <col min="13831" max="13831" width="12" style="1322" customWidth="1"/>
    <col min="13832" max="13832" width="14.28515625" style="1322" bestFit="1" customWidth="1"/>
    <col min="13833" max="13833" width="18.85546875" style="1322" customWidth="1"/>
    <col min="13834" max="13834" width="15.5703125" style="1322" customWidth="1"/>
    <col min="13835" max="13835" width="16.140625" style="1322" customWidth="1"/>
    <col min="13836" max="13837" width="15" style="1322" customWidth="1"/>
    <col min="13838" max="13838" width="13.5703125" style="1322" customWidth="1"/>
    <col min="13839" max="13839" width="15" style="1322" customWidth="1"/>
    <col min="13840" max="13841" width="17.5703125" style="1322" customWidth="1"/>
    <col min="13842" max="13842" width="33" style="1322" customWidth="1"/>
    <col min="13843" max="13843" width="15" style="1322" customWidth="1"/>
    <col min="13844" max="13845" width="14.5703125" style="1322" bestFit="1" customWidth="1"/>
    <col min="13846" max="13846" width="10.5703125" style="1322" bestFit="1" customWidth="1"/>
    <col min="13847" max="14080" width="10" style="1322"/>
    <col min="14081" max="14081" width="9.42578125" style="1322" customWidth="1"/>
    <col min="14082" max="14082" width="20.85546875" style="1322" customWidth="1"/>
    <col min="14083" max="14083" width="35.5703125" style="1322" customWidth="1"/>
    <col min="14084" max="14084" width="12.85546875" style="1322" customWidth="1"/>
    <col min="14085" max="14085" width="10.42578125" style="1322" customWidth="1"/>
    <col min="14086" max="14086" width="16.42578125" style="1322" customWidth="1"/>
    <col min="14087" max="14087" width="12" style="1322" customWidth="1"/>
    <col min="14088" max="14088" width="14.28515625" style="1322" bestFit="1" customWidth="1"/>
    <col min="14089" max="14089" width="18.85546875" style="1322" customWidth="1"/>
    <col min="14090" max="14090" width="15.5703125" style="1322" customWidth="1"/>
    <col min="14091" max="14091" width="16.140625" style="1322" customWidth="1"/>
    <col min="14092" max="14093" width="15" style="1322" customWidth="1"/>
    <col min="14094" max="14094" width="13.5703125" style="1322" customWidth="1"/>
    <col min="14095" max="14095" width="15" style="1322" customWidth="1"/>
    <col min="14096" max="14097" width="17.5703125" style="1322" customWidth="1"/>
    <col min="14098" max="14098" width="33" style="1322" customWidth="1"/>
    <col min="14099" max="14099" width="15" style="1322" customWidth="1"/>
    <col min="14100" max="14101" width="14.5703125" style="1322" bestFit="1" customWidth="1"/>
    <col min="14102" max="14102" width="10.5703125" style="1322" bestFit="1" customWidth="1"/>
    <col min="14103" max="14336" width="10" style="1322"/>
    <col min="14337" max="14337" width="9.42578125" style="1322" customWidth="1"/>
    <col min="14338" max="14338" width="20.85546875" style="1322" customWidth="1"/>
    <col min="14339" max="14339" width="35.5703125" style="1322" customWidth="1"/>
    <col min="14340" max="14340" width="12.85546875" style="1322" customWidth="1"/>
    <col min="14341" max="14341" width="10.42578125" style="1322" customWidth="1"/>
    <col min="14342" max="14342" width="16.42578125" style="1322" customWidth="1"/>
    <col min="14343" max="14343" width="12" style="1322" customWidth="1"/>
    <col min="14344" max="14344" width="14.28515625" style="1322" bestFit="1" customWidth="1"/>
    <col min="14345" max="14345" width="18.85546875" style="1322" customWidth="1"/>
    <col min="14346" max="14346" width="15.5703125" style="1322" customWidth="1"/>
    <col min="14347" max="14347" width="16.140625" style="1322" customWidth="1"/>
    <col min="14348" max="14349" width="15" style="1322" customWidth="1"/>
    <col min="14350" max="14350" width="13.5703125" style="1322" customWidth="1"/>
    <col min="14351" max="14351" width="15" style="1322" customWidth="1"/>
    <col min="14352" max="14353" width="17.5703125" style="1322" customWidth="1"/>
    <col min="14354" max="14354" width="33" style="1322" customWidth="1"/>
    <col min="14355" max="14355" width="15" style="1322" customWidth="1"/>
    <col min="14356" max="14357" width="14.5703125" style="1322" bestFit="1" customWidth="1"/>
    <col min="14358" max="14358" width="10.5703125" style="1322" bestFit="1" customWidth="1"/>
    <col min="14359" max="14592" width="10" style="1322"/>
    <col min="14593" max="14593" width="9.42578125" style="1322" customWidth="1"/>
    <col min="14594" max="14594" width="20.85546875" style="1322" customWidth="1"/>
    <col min="14595" max="14595" width="35.5703125" style="1322" customWidth="1"/>
    <col min="14596" max="14596" width="12.85546875" style="1322" customWidth="1"/>
    <col min="14597" max="14597" width="10.42578125" style="1322" customWidth="1"/>
    <col min="14598" max="14598" width="16.42578125" style="1322" customWidth="1"/>
    <col min="14599" max="14599" width="12" style="1322" customWidth="1"/>
    <col min="14600" max="14600" width="14.28515625" style="1322" bestFit="1" customWidth="1"/>
    <col min="14601" max="14601" width="18.85546875" style="1322" customWidth="1"/>
    <col min="14602" max="14602" width="15.5703125" style="1322" customWidth="1"/>
    <col min="14603" max="14603" width="16.140625" style="1322" customWidth="1"/>
    <col min="14604" max="14605" width="15" style="1322" customWidth="1"/>
    <col min="14606" max="14606" width="13.5703125" style="1322" customWidth="1"/>
    <col min="14607" max="14607" width="15" style="1322" customWidth="1"/>
    <col min="14608" max="14609" width="17.5703125" style="1322" customWidth="1"/>
    <col min="14610" max="14610" width="33" style="1322" customWidth="1"/>
    <col min="14611" max="14611" width="15" style="1322" customWidth="1"/>
    <col min="14612" max="14613" width="14.5703125" style="1322" bestFit="1" customWidth="1"/>
    <col min="14614" max="14614" width="10.5703125" style="1322" bestFit="1" customWidth="1"/>
    <col min="14615" max="14848" width="10" style="1322"/>
    <col min="14849" max="14849" width="9.42578125" style="1322" customWidth="1"/>
    <col min="14850" max="14850" width="20.85546875" style="1322" customWidth="1"/>
    <col min="14851" max="14851" width="35.5703125" style="1322" customWidth="1"/>
    <col min="14852" max="14852" width="12.85546875" style="1322" customWidth="1"/>
    <col min="14853" max="14853" width="10.42578125" style="1322" customWidth="1"/>
    <col min="14854" max="14854" width="16.42578125" style="1322" customWidth="1"/>
    <col min="14855" max="14855" width="12" style="1322" customWidth="1"/>
    <col min="14856" max="14856" width="14.28515625" style="1322" bestFit="1" customWidth="1"/>
    <col min="14857" max="14857" width="18.85546875" style="1322" customWidth="1"/>
    <col min="14858" max="14858" width="15.5703125" style="1322" customWidth="1"/>
    <col min="14859" max="14859" width="16.140625" style="1322" customWidth="1"/>
    <col min="14860" max="14861" width="15" style="1322" customWidth="1"/>
    <col min="14862" max="14862" width="13.5703125" style="1322" customWidth="1"/>
    <col min="14863" max="14863" width="15" style="1322" customWidth="1"/>
    <col min="14864" max="14865" width="17.5703125" style="1322" customWidth="1"/>
    <col min="14866" max="14866" width="33" style="1322" customWidth="1"/>
    <col min="14867" max="14867" width="15" style="1322" customWidth="1"/>
    <col min="14868" max="14869" width="14.5703125" style="1322" bestFit="1" customWidth="1"/>
    <col min="14870" max="14870" width="10.5703125" style="1322" bestFit="1" customWidth="1"/>
    <col min="14871" max="15104" width="10" style="1322"/>
    <col min="15105" max="15105" width="9.42578125" style="1322" customWidth="1"/>
    <col min="15106" max="15106" width="20.85546875" style="1322" customWidth="1"/>
    <col min="15107" max="15107" width="35.5703125" style="1322" customWidth="1"/>
    <col min="15108" max="15108" width="12.85546875" style="1322" customWidth="1"/>
    <col min="15109" max="15109" width="10.42578125" style="1322" customWidth="1"/>
    <col min="15110" max="15110" width="16.42578125" style="1322" customWidth="1"/>
    <col min="15111" max="15111" width="12" style="1322" customWidth="1"/>
    <col min="15112" max="15112" width="14.28515625" style="1322" bestFit="1" customWidth="1"/>
    <col min="15113" max="15113" width="18.85546875" style="1322" customWidth="1"/>
    <col min="15114" max="15114" width="15.5703125" style="1322" customWidth="1"/>
    <col min="15115" max="15115" width="16.140625" style="1322" customWidth="1"/>
    <col min="15116" max="15117" width="15" style="1322" customWidth="1"/>
    <col min="15118" max="15118" width="13.5703125" style="1322" customWidth="1"/>
    <col min="15119" max="15119" width="15" style="1322" customWidth="1"/>
    <col min="15120" max="15121" width="17.5703125" style="1322" customWidth="1"/>
    <col min="15122" max="15122" width="33" style="1322" customWidth="1"/>
    <col min="15123" max="15123" width="15" style="1322" customWidth="1"/>
    <col min="15124" max="15125" width="14.5703125" style="1322" bestFit="1" customWidth="1"/>
    <col min="15126" max="15126" width="10.5703125" style="1322" bestFit="1" customWidth="1"/>
    <col min="15127" max="15360" width="10" style="1322"/>
    <col min="15361" max="15361" width="9.42578125" style="1322" customWidth="1"/>
    <col min="15362" max="15362" width="20.85546875" style="1322" customWidth="1"/>
    <col min="15363" max="15363" width="35.5703125" style="1322" customWidth="1"/>
    <col min="15364" max="15364" width="12.85546875" style="1322" customWidth="1"/>
    <col min="15365" max="15365" width="10.42578125" style="1322" customWidth="1"/>
    <col min="15366" max="15366" width="16.42578125" style="1322" customWidth="1"/>
    <col min="15367" max="15367" width="12" style="1322" customWidth="1"/>
    <col min="15368" max="15368" width="14.28515625" style="1322" bestFit="1" customWidth="1"/>
    <col min="15369" max="15369" width="18.85546875" style="1322" customWidth="1"/>
    <col min="15370" max="15370" width="15.5703125" style="1322" customWidth="1"/>
    <col min="15371" max="15371" width="16.140625" style="1322" customWidth="1"/>
    <col min="15372" max="15373" width="15" style="1322" customWidth="1"/>
    <col min="15374" max="15374" width="13.5703125" style="1322" customWidth="1"/>
    <col min="15375" max="15375" width="15" style="1322" customWidth="1"/>
    <col min="15376" max="15377" width="17.5703125" style="1322" customWidth="1"/>
    <col min="15378" max="15378" width="33" style="1322" customWidth="1"/>
    <col min="15379" max="15379" width="15" style="1322" customWidth="1"/>
    <col min="15380" max="15381" width="14.5703125" style="1322" bestFit="1" customWidth="1"/>
    <col min="15382" max="15382" width="10.5703125" style="1322" bestFit="1" customWidth="1"/>
    <col min="15383" max="15616" width="10" style="1322"/>
    <col min="15617" max="15617" width="9.42578125" style="1322" customWidth="1"/>
    <col min="15618" max="15618" width="20.85546875" style="1322" customWidth="1"/>
    <col min="15619" max="15619" width="35.5703125" style="1322" customWidth="1"/>
    <col min="15620" max="15620" width="12.85546875" style="1322" customWidth="1"/>
    <col min="15621" max="15621" width="10.42578125" style="1322" customWidth="1"/>
    <col min="15622" max="15622" width="16.42578125" style="1322" customWidth="1"/>
    <col min="15623" max="15623" width="12" style="1322" customWidth="1"/>
    <col min="15624" max="15624" width="14.28515625" style="1322" bestFit="1" customWidth="1"/>
    <col min="15625" max="15625" width="18.85546875" style="1322" customWidth="1"/>
    <col min="15626" max="15626" width="15.5703125" style="1322" customWidth="1"/>
    <col min="15627" max="15627" width="16.140625" style="1322" customWidth="1"/>
    <col min="15628" max="15629" width="15" style="1322" customWidth="1"/>
    <col min="15630" max="15630" width="13.5703125" style="1322" customWidth="1"/>
    <col min="15631" max="15631" width="15" style="1322" customWidth="1"/>
    <col min="15632" max="15633" width="17.5703125" style="1322" customWidth="1"/>
    <col min="15634" max="15634" width="33" style="1322" customWidth="1"/>
    <col min="15635" max="15635" width="15" style="1322" customWidth="1"/>
    <col min="15636" max="15637" width="14.5703125" style="1322" bestFit="1" customWidth="1"/>
    <col min="15638" max="15638" width="10.5703125" style="1322" bestFit="1" customWidth="1"/>
    <col min="15639" max="15872" width="10" style="1322"/>
    <col min="15873" max="15873" width="9.42578125" style="1322" customWidth="1"/>
    <col min="15874" max="15874" width="20.85546875" style="1322" customWidth="1"/>
    <col min="15875" max="15875" width="35.5703125" style="1322" customWidth="1"/>
    <col min="15876" max="15876" width="12.85546875" style="1322" customWidth="1"/>
    <col min="15877" max="15877" width="10.42578125" style="1322" customWidth="1"/>
    <col min="15878" max="15878" width="16.42578125" style="1322" customWidth="1"/>
    <col min="15879" max="15879" width="12" style="1322" customWidth="1"/>
    <col min="15880" max="15880" width="14.28515625" style="1322" bestFit="1" customWidth="1"/>
    <col min="15881" max="15881" width="18.85546875" style="1322" customWidth="1"/>
    <col min="15882" max="15882" width="15.5703125" style="1322" customWidth="1"/>
    <col min="15883" max="15883" width="16.140625" style="1322" customWidth="1"/>
    <col min="15884" max="15885" width="15" style="1322" customWidth="1"/>
    <col min="15886" max="15886" width="13.5703125" style="1322" customWidth="1"/>
    <col min="15887" max="15887" width="15" style="1322" customWidth="1"/>
    <col min="15888" max="15889" width="17.5703125" style="1322" customWidth="1"/>
    <col min="15890" max="15890" width="33" style="1322" customWidth="1"/>
    <col min="15891" max="15891" width="15" style="1322" customWidth="1"/>
    <col min="15892" max="15893" width="14.5703125" style="1322" bestFit="1" customWidth="1"/>
    <col min="15894" max="15894" width="10.5703125" style="1322" bestFit="1" customWidth="1"/>
    <col min="15895" max="16128" width="10" style="1322"/>
    <col min="16129" max="16129" width="9.42578125" style="1322" customWidth="1"/>
    <col min="16130" max="16130" width="20.85546875" style="1322" customWidth="1"/>
    <col min="16131" max="16131" width="35.5703125" style="1322" customWidth="1"/>
    <col min="16132" max="16132" width="12.85546875" style="1322" customWidth="1"/>
    <col min="16133" max="16133" width="10.42578125" style="1322" customWidth="1"/>
    <col min="16134" max="16134" width="16.42578125" style="1322" customWidth="1"/>
    <col min="16135" max="16135" width="12" style="1322" customWidth="1"/>
    <col min="16136" max="16136" width="14.28515625" style="1322" bestFit="1" customWidth="1"/>
    <col min="16137" max="16137" width="18.85546875" style="1322" customWidth="1"/>
    <col min="16138" max="16138" width="15.5703125" style="1322" customWidth="1"/>
    <col min="16139" max="16139" width="16.140625" style="1322" customWidth="1"/>
    <col min="16140" max="16141" width="15" style="1322" customWidth="1"/>
    <col min="16142" max="16142" width="13.5703125" style="1322" customWidth="1"/>
    <col min="16143" max="16143" width="15" style="1322" customWidth="1"/>
    <col min="16144" max="16145" width="17.5703125" style="1322" customWidth="1"/>
    <col min="16146" max="16146" width="33" style="1322" customWidth="1"/>
    <col min="16147" max="16147" width="15" style="1322" customWidth="1"/>
    <col min="16148" max="16149" width="14.5703125" style="1322" bestFit="1" customWidth="1"/>
    <col min="16150" max="16150" width="10.5703125" style="1322" bestFit="1" customWidth="1"/>
    <col min="16151" max="16384" width="10" style="1322"/>
  </cols>
  <sheetData>
    <row r="1" spans="1:23" ht="12.75">
      <c r="A1" s="1322" t="s">
        <v>832</v>
      </c>
      <c r="R1" s="1324"/>
    </row>
    <row r="2" spans="1:23" ht="12.75">
      <c r="A2" s="1322" t="s">
        <v>833</v>
      </c>
      <c r="R2" s="1324"/>
      <c r="V2" s="1325"/>
    </row>
    <row r="3" spans="1:23" ht="12.75">
      <c r="A3" s="1322" t="s">
        <v>834</v>
      </c>
      <c r="R3" s="1324"/>
      <c r="V3" s="1326"/>
    </row>
    <row r="4" spans="1:23">
      <c r="A4" s="1322" t="s">
        <v>922</v>
      </c>
      <c r="G4" s="1327"/>
    </row>
    <row r="5" spans="1:23">
      <c r="A5" s="1322" t="s">
        <v>835</v>
      </c>
      <c r="I5" s="1328"/>
      <c r="J5" s="1328"/>
      <c r="P5" s="1328"/>
      <c r="Q5" s="1328"/>
    </row>
    <row r="6" spans="1:23">
      <c r="J6" s="1328"/>
      <c r="K6" s="1329"/>
      <c r="L6" s="1323"/>
      <c r="M6" s="1323"/>
      <c r="N6" s="1323"/>
      <c r="O6" s="1323"/>
      <c r="P6" s="1323"/>
      <c r="Q6" s="1323"/>
    </row>
    <row r="7" spans="1:23">
      <c r="B7" s="1330"/>
      <c r="C7" s="1330"/>
      <c r="D7" s="1330"/>
      <c r="E7" s="1330"/>
      <c r="F7" s="1330"/>
      <c r="G7" s="1330"/>
      <c r="H7" s="1330"/>
      <c r="I7" s="1330"/>
      <c r="J7" s="1330"/>
      <c r="K7" s="1330"/>
      <c r="L7" s="1330"/>
      <c r="M7" s="1330"/>
      <c r="N7" s="1330"/>
      <c r="O7" s="1330"/>
      <c r="P7" s="1330"/>
      <c r="Q7" s="1323"/>
    </row>
    <row r="8" spans="1:23">
      <c r="A8" s="1323" t="s">
        <v>438</v>
      </c>
      <c r="B8" s="1323" t="s">
        <v>439</v>
      </c>
      <c r="C8" s="1323" t="s">
        <v>440</v>
      </c>
      <c r="D8" s="1323" t="s">
        <v>441</v>
      </c>
      <c r="E8" s="1323" t="s">
        <v>442</v>
      </c>
      <c r="F8" s="1323" t="s">
        <v>443</v>
      </c>
      <c r="G8" s="1323" t="s">
        <v>444</v>
      </c>
      <c r="H8" s="1323" t="s">
        <v>445</v>
      </c>
      <c r="I8" s="1323" t="s">
        <v>836</v>
      </c>
      <c r="J8" s="1323" t="s">
        <v>837</v>
      </c>
      <c r="K8" s="1323" t="s">
        <v>448</v>
      </c>
      <c r="L8" s="1323" t="s">
        <v>449</v>
      </c>
      <c r="M8" s="1323" t="s">
        <v>450</v>
      </c>
      <c r="N8" s="1323" t="s">
        <v>31</v>
      </c>
      <c r="O8" s="1323" t="s">
        <v>99</v>
      </c>
      <c r="P8" s="1323" t="s">
        <v>144</v>
      </c>
      <c r="Q8" s="1323" t="s">
        <v>145</v>
      </c>
      <c r="R8" s="1323" t="s">
        <v>146</v>
      </c>
    </row>
    <row r="9" spans="1:23" ht="14.45" customHeight="1">
      <c r="B9" s="1390"/>
      <c r="C9" s="1390"/>
      <c r="D9" s="1390"/>
      <c r="E9" s="1390"/>
      <c r="I9" s="1491" t="s">
        <v>921</v>
      </c>
      <c r="J9" s="1491"/>
      <c r="K9" s="1492" t="s">
        <v>838</v>
      </c>
      <c r="L9" s="1492"/>
      <c r="M9" s="1492"/>
      <c r="N9" s="1493" t="s">
        <v>839</v>
      </c>
      <c r="O9" s="1493"/>
      <c r="P9" s="1491" t="s">
        <v>920</v>
      </c>
      <c r="Q9" s="1491"/>
    </row>
    <row r="10" spans="1:23" ht="69.95" customHeight="1">
      <c r="A10" s="1331" t="s">
        <v>840</v>
      </c>
      <c r="B10" s="1332" t="s">
        <v>841</v>
      </c>
      <c r="C10" s="1332" t="s">
        <v>842</v>
      </c>
      <c r="D10" s="1333" t="s">
        <v>843</v>
      </c>
      <c r="E10" s="1333" t="s">
        <v>844</v>
      </c>
      <c r="F10" s="1333" t="s">
        <v>845</v>
      </c>
      <c r="G10" s="1333" t="s">
        <v>846</v>
      </c>
      <c r="H10" s="1333" t="s">
        <v>847</v>
      </c>
      <c r="I10" s="1334" t="s">
        <v>848</v>
      </c>
      <c r="J10" s="1334" t="s">
        <v>849</v>
      </c>
      <c r="K10" s="1335" t="s">
        <v>850</v>
      </c>
      <c r="L10" s="1335">
        <v>182.3</v>
      </c>
      <c r="M10" s="1335">
        <v>254</v>
      </c>
      <c r="N10" s="1335" t="s">
        <v>851</v>
      </c>
      <c r="O10" s="1335" t="s">
        <v>852</v>
      </c>
      <c r="P10" s="1334" t="s">
        <v>848</v>
      </c>
      <c r="Q10" s="1334" t="s">
        <v>849</v>
      </c>
      <c r="R10" s="1336" t="s">
        <v>853</v>
      </c>
    </row>
    <row r="11" spans="1:23">
      <c r="B11" s="1322"/>
      <c r="D11" s="1389"/>
      <c r="E11" s="1389"/>
      <c r="F11" s="1389"/>
      <c r="G11" s="1389"/>
      <c r="H11" s="1389"/>
      <c r="I11" s="1337"/>
      <c r="J11" s="1337"/>
      <c r="K11" s="1337"/>
      <c r="L11" s="1337"/>
      <c r="M11" s="1337"/>
      <c r="N11" s="1337"/>
      <c r="O11" s="1337"/>
      <c r="P11" s="1494" t="s">
        <v>854</v>
      </c>
      <c r="Q11" s="1494"/>
      <c r="R11" s="1336"/>
    </row>
    <row r="12" spans="1:23">
      <c r="B12" s="1338" t="s">
        <v>855</v>
      </c>
      <c r="C12" s="1339"/>
      <c r="D12" s="1339"/>
      <c r="E12" s="1339"/>
      <c r="F12" s="1339"/>
      <c r="G12" s="1339"/>
      <c r="H12" s="1339"/>
      <c r="I12" s="1339"/>
      <c r="J12" s="1339"/>
      <c r="K12" s="1339"/>
      <c r="L12" s="1339"/>
      <c r="M12" s="1339"/>
      <c r="N12" s="1339"/>
      <c r="O12" s="1339"/>
      <c r="P12" s="1339"/>
      <c r="Q12" s="1339"/>
      <c r="R12" s="1326"/>
      <c r="S12" s="1326"/>
      <c r="T12" s="1326"/>
      <c r="U12" s="1326"/>
      <c r="V12" s="1326"/>
      <c r="W12" s="1326"/>
    </row>
    <row r="13" spans="1:23">
      <c r="A13" s="1322" t="s">
        <v>856</v>
      </c>
      <c r="B13" s="1340" t="s">
        <v>857</v>
      </c>
      <c r="C13" s="1322" t="s">
        <v>858</v>
      </c>
      <c r="D13" s="1341" t="s">
        <v>859</v>
      </c>
      <c r="E13" s="1341" t="s">
        <v>860</v>
      </c>
      <c r="F13" s="1342"/>
      <c r="G13" s="1341"/>
      <c r="H13" s="1341"/>
      <c r="I13" s="1343"/>
      <c r="J13" s="1344"/>
      <c r="K13" s="1343"/>
      <c r="L13" s="1343"/>
      <c r="M13" s="1343"/>
      <c r="N13" s="1343"/>
      <c r="O13" s="1343"/>
      <c r="P13" s="1345">
        <f>SUM(I13:O13)</f>
        <v>0</v>
      </c>
      <c r="Q13" s="1346" t="s">
        <v>406</v>
      </c>
      <c r="R13" s="1347" t="s">
        <v>861</v>
      </c>
      <c r="S13" s="1326"/>
      <c r="T13" s="1326"/>
      <c r="U13" s="1326"/>
      <c r="V13" s="1326"/>
      <c r="W13" s="1326"/>
    </row>
    <row r="14" spans="1:23">
      <c r="A14" s="1322" t="s">
        <v>862</v>
      </c>
      <c r="B14" s="1340" t="s">
        <v>863</v>
      </c>
      <c r="C14" s="1322" t="s">
        <v>864</v>
      </c>
      <c r="D14" s="1341" t="s">
        <v>865</v>
      </c>
      <c r="E14" s="1341" t="s">
        <v>860</v>
      </c>
      <c r="F14" s="1348">
        <v>-57557598</v>
      </c>
      <c r="G14" s="1349" t="s">
        <v>866</v>
      </c>
      <c r="H14" s="1349" t="s">
        <v>867</v>
      </c>
      <c r="J14" s="1343"/>
      <c r="K14" s="1343"/>
      <c r="L14" s="1343"/>
      <c r="M14" s="1343"/>
      <c r="N14" s="1343"/>
      <c r="O14" s="1343"/>
      <c r="P14" s="1350" t="s">
        <v>406</v>
      </c>
      <c r="Q14" s="1351">
        <f>SUM(J14:O14)</f>
        <v>0</v>
      </c>
      <c r="R14" s="1352" t="s">
        <v>872</v>
      </c>
      <c r="S14" s="1326"/>
      <c r="T14" s="1326"/>
      <c r="U14" s="1326"/>
      <c r="V14" s="1326"/>
      <c r="W14" s="1326"/>
    </row>
    <row r="15" spans="1:23">
      <c r="A15" s="1322" t="s">
        <v>868</v>
      </c>
      <c r="B15" s="1340" t="s">
        <v>863</v>
      </c>
      <c r="C15" s="1322" t="s">
        <v>864</v>
      </c>
      <c r="D15" s="1341" t="s">
        <v>869</v>
      </c>
      <c r="E15" s="1341" t="s">
        <v>860</v>
      </c>
      <c r="F15" s="1353">
        <v>0</v>
      </c>
      <c r="G15" s="1349" t="s">
        <v>870</v>
      </c>
      <c r="H15" s="1349" t="s">
        <v>871</v>
      </c>
      <c r="J15" s="1343"/>
      <c r="K15" s="1343"/>
      <c r="L15" s="1343"/>
      <c r="M15" s="1343"/>
      <c r="N15" s="1343"/>
      <c r="O15" s="1343"/>
      <c r="P15" s="1350"/>
      <c r="Q15" s="1351">
        <f>SUM(J15:O15)</f>
        <v>0</v>
      </c>
      <c r="R15" s="1352" t="s">
        <v>918</v>
      </c>
      <c r="S15" s="1326"/>
      <c r="T15" s="1326"/>
      <c r="U15" s="1326"/>
      <c r="V15" s="1326"/>
      <c r="W15" s="1326"/>
    </row>
    <row r="16" spans="1:23">
      <c r="A16" s="1322" t="s">
        <v>873</v>
      </c>
      <c r="B16" s="1340" t="s">
        <v>874</v>
      </c>
      <c r="C16" s="1322" t="s">
        <v>875</v>
      </c>
      <c r="D16" s="1341" t="s">
        <v>865</v>
      </c>
      <c r="E16" s="1341" t="s">
        <v>860</v>
      </c>
      <c r="F16" s="1353"/>
      <c r="G16" s="1349"/>
      <c r="H16" s="1349"/>
      <c r="I16" s="1343"/>
      <c r="J16" s="1344"/>
      <c r="K16" s="1343"/>
      <c r="L16" s="1343"/>
      <c r="M16" s="1343"/>
      <c r="N16" s="1343"/>
      <c r="O16" s="1343"/>
      <c r="P16" s="1345">
        <f>SUM(I16:O16)</f>
        <v>0</v>
      </c>
      <c r="Q16" s="1344"/>
      <c r="R16" s="1487" t="s">
        <v>919</v>
      </c>
      <c r="S16" s="1326"/>
      <c r="T16" s="1326"/>
      <c r="U16" s="1326"/>
      <c r="V16" s="1326"/>
      <c r="W16" s="1326"/>
    </row>
    <row r="17" spans="1:23">
      <c r="A17" s="1322" t="s">
        <v>876</v>
      </c>
      <c r="B17" s="1340" t="s">
        <v>874</v>
      </c>
      <c r="C17" s="1322" t="s">
        <v>875</v>
      </c>
      <c r="D17" s="1341" t="s">
        <v>869</v>
      </c>
      <c r="E17" s="1341" t="s">
        <v>860</v>
      </c>
      <c r="F17" s="1353"/>
      <c r="G17" s="1349"/>
      <c r="H17" s="1349"/>
      <c r="I17" s="1343"/>
      <c r="J17" s="1344"/>
      <c r="K17" s="1343"/>
      <c r="L17" s="1343"/>
      <c r="M17" s="1343"/>
      <c r="N17" s="1343"/>
      <c r="O17" s="1343"/>
      <c r="P17" s="1345">
        <f>SUM(I17:O17)</f>
        <v>0</v>
      </c>
      <c r="Q17" s="1344"/>
      <c r="R17" s="1487"/>
      <c r="S17" s="1326"/>
      <c r="T17" s="1326"/>
      <c r="U17" s="1326"/>
      <c r="V17" s="1326"/>
      <c r="W17" s="1326"/>
    </row>
    <row r="18" spans="1:23">
      <c r="A18" s="1322" t="s">
        <v>877</v>
      </c>
      <c r="B18" s="1340" t="s">
        <v>878</v>
      </c>
      <c r="C18" s="1322" t="s">
        <v>879</v>
      </c>
      <c r="D18" s="1341" t="s">
        <v>869</v>
      </c>
      <c r="E18" s="1341" t="s">
        <v>860</v>
      </c>
      <c r="F18" s="1353">
        <v>4719901</v>
      </c>
      <c r="G18" s="1349" t="s">
        <v>870</v>
      </c>
      <c r="H18" s="1349" t="s">
        <v>871</v>
      </c>
      <c r="J18" s="1343"/>
      <c r="K18" s="1343"/>
      <c r="L18" s="1343"/>
      <c r="M18" s="1343"/>
      <c r="N18" s="1343"/>
      <c r="O18" s="1343"/>
      <c r="P18" s="1350" t="s">
        <v>406</v>
      </c>
      <c r="Q18" s="1351">
        <f>SUM(J18:O18)</f>
        <v>0</v>
      </c>
      <c r="R18" s="1347" t="s">
        <v>880</v>
      </c>
      <c r="S18" s="1326"/>
      <c r="T18" s="1326"/>
      <c r="U18" s="1326"/>
      <c r="V18" s="1326"/>
      <c r="W18" s="1326"/>
    </row>
    <row r="19" spans="1:23">
      <c r="A19" s="1322" t="s">
        <v>881</v>
      </c>
      <c r="B19" s="1354" t="s">
        <v>882</v>
      </c>
      <c r="C19" s="1322" t="s">
        <v>883</v>
      </c>
      <c r="D19" s="1341" t="s">
        <v>869</v>
      </c>
      <c r="E19" s="1341" t="s">
        <v>860</v>
      </c>
      <c r="F19" s="1348"/>
      <c r="G19" s="1349"/>
      <c r="H19" s="1349"/>
      <c r="I19" s="1343"/>
      <c r="J19" s="1344"/>
      <c r="K19" s="1343"/>
      <c r="L19" s="1343"/>
      <c r="M19" s="1343"/>
      <c r="N19" s="1343"/>
      <c r="O19" s="1343"/>
      <c r="P19" s="1345">
        <f>SUM(I19:O19)</f>
        <v>0</v>
      </c>
      <c r="Q19" s="1350"/>
      <c r="R19" s="1347" t="s">
        <v>884</v>
      </c>
      <c r="S19" s="1326"/>
      <c r="T19" s="1326"/>
      <c r="U19" s="1326"/>
      <c r="V19" s="1326"/>
      <c r="W19" s="1326"/>
    </row>
    <row r="20" spans="1:23">
      <c r="A20" s="1322" t="s">
        <v>885</v>
      </c>
      <c r="B20" s="1355" t="s">
        <v>886</v>
      </c>
      <c r="D20" s="1341"/>
      <c r="E20" s="1341"/>
      <c r="F20" s="1348"/>
      <c r="G20" s="1349"/>
      <c r="H20" s="1349"/>
      <c r="I20" s="1343"/>
      <c r="J20" s="1343"/>
      <c r="K20" s="1343"/>
      <c r="L20" s="1343"/>
      <c r="M20" s="1343"/>
      <c r="N20" s="1343"/>
      <c r="O20" s="1343"/>
      <c r="P20" s="1346"/>
      <c r="Q20" s="1345"/>
      <c r="R20" s="1356"/>
      <c r="S20" s="1326"/>
      <c r="T20" s="1326"/>
      <c r="U20" s="1326"/>
      <c r="V20" s="1326"/>
      <c r="W20" s="1326"/>
    </row>
    <row r="21" spans="1:23" ht="12.75">
      <c r="B21" s="1357"/>
      <c r="C21" s="1357"/>
      <c r="D21" s="1357"/>
      <c r="E21" s="1357"/>
      <c r="F21" s="1357"/>
      <c r="G21" s="1357"/>
      <c r="H21" s="1357"/>
      <c r="I21" s="1357"/>
      <c r="J21" s="1357"/>
      <c r="K21" s="1357"/>
      <c r="L21" s="1357"/>
      <c r="M21" s="1357"/>
      <c r="N21"/>
      <c r="O21"/>
      <c r="P21"/>
      <c r="Q21"/>
      <c r="R21"/>
      <c r="S21" s="1326"/>
      <c r="T21" s="1326"/>
      <c r="U21" s="1326"/>
      <c r="V21" s="1326"/>
      <c r="W21" s="1326"/>
    </row>
    <row r="22" spans="1:23" s="1326" customFormat="1">
      <c r="A22" s="1322"/>
      <c r="B22" s="1338" t="s">
        <v>887</v>
      </c>
      <c r="Q22" s="1358"/>
      <c r="R22" s="1359"/>
    </row>
    <row r="23" spans="1:23" ht="11.45" customHeight="1">
      <c r="A23" s="1322" t="s">
        <v>888</v>
      </c>
      <c r="B23" s="1360">
        <v>182.3</v>
      </c>
      <c r="C23" s="1361" t="s">
        <v>889</v>
      </c>
      <c r="D23" s="1362" t="s">
        <v>406</v>
      </c>
      <c r="E23" s="1341" t="s">
        <v>860</v>
      </c>
      <c r="F23" s="1362"/>
      <c r="G23" s="1362" t="s">
        <v>406</v>
      </c>
      <c r="H23" s="1362"/>
      <c r="I23" s="1363"/>
      <c r="J23" s="1343"/>
      <c r="K23" s="1343"/>
      <c r="L23" s="1343"/>
      <c r="M23" s="1343"/>
      <c r="N23" s="1343"/>
      <c r="O23" s="1344"/>
      <c r="P23" s="1346">
        <f>SUM(I23:O23)</f>
        <v>0</v>
      </c>
      <c r="Q23" s="1364"/>
      <c r="R23" s="1347" t="s">
        <v>890</v>
      </c>
      <c r="S23" s="1326"/>
      <c r="T23" s="1326"/>
      <c r="U23" s="1326"/>
      <c r="V23" s="1326"/>
      <c r="W23" s="1326"/>
    </row>
    <row r="24" spans="1:23" ht="11.45" customHeight="1">
      <c r="A24" s="1322" t="s">
        <v>891</v>
      </c>
      <c r="B24" s="1360">
        <v>254</v>
      </c>
      <c r="C24" s="1361" t="s">
        <v>892</v>
      </c>
      <c r="D24" s="1362" t="s">
        <v>406</v>
      </c>
      <c r="E24" s="1341" t="s">
        <v>860</v>
      </c>
      <c r="F24" s="1362"/>
      <c r="G24" s="1362" t="s">
        <v>406</v>
      </c>
      <c r="H24" s="1362"/>
      <c r="I24" s="1363"/>
      <c r="J24" s="1343"/>
      <c r="K24" s="1343"/>
      <c r="L24" s="1343"/>
      <c r="M24" s="1343"/>
      <c r="N24" s="1343"/>
      <c r="O24" s="1344"/>
      <c r="P24" s="1346">
        <f>SUM(I24:O24)</f>
        <v>0</v>
      </c>
      <c r="Q24" s="1364"/>
      <c r="R24" s="1347" t="s">
        <v>893</v>
      </c>
      <c r="S24" s="1326"/>
      <c r="T24" s="1326"/>
      <c r="U24" s="1326"/>
      <c r="V24" s="1326"/>
      <c r="W24" s="1326"/>
    </row>
    <row r="25" spans="1:23" ht="11.45" customHeight="1">
      <c r="A25" s="1322" t="s">
        <v>894</v>
      </c>
      <c r="B25" s="1355" t="s">
        <v>886</v>
      </c>
      <c r="C25" s="1361"/>
      <c r="D25" s="1362"/>
      <c r="E25" s="1341"/>
      <c r="F25" s="1362"/>
      <c r="G25" s="1362"/>
      <c r="H25" s="1362"/>
      <c r="I25" s="1343"/>
      <c r="J25" s="1343"/>
      <c r="K25" s="1343"/>
      <c r="L25" s="1343"/>
      <c r="M25" s="1343"/>
      <c r="N25" s="1343"/>
      <c r="O25" s="1362"/>
      <c r="P25" s="1364"/>
      <c r="Q25" s="1364"/>
      <c r="R25" s="1347"/>
      <c r="S25" s="1326"/>
      <c r="T25" s="1326"/>
      <c r="U25" s="1326"/>
      <c r="V25" s="1326"/>
      <c r="W25" s="1326"/>
    </row>
    <row r="26" spans="1:23">
      <c r="B26" s="1360"/>
      <c r="C26" s="1361"/>
      <c r="D26" s="1330"/>
      <c r="E26" s="1330"/>
      <c r="F26" s="1330"/>
      <c r="G26" s="1330"/>
      <c r="H26" s="1330"/>
      <c r="I26" s="1330"/>
      <c r="J26" s="1330"/>
      <c r="K26" s="1330"/>
      <c r="L26" s="1330"/>
      <c r="M26" s="1330"/>
      <c r="N26" s="1330"/>
      <c r="O26" s="1330"/>
      <c r="P26" s="1330"/>
      <c r="Q26" s="1330"/>
      <c r="R26" s="1365"/>
      <c r="S26" s="1326"/>
      <c r="T26" s="1326"/>
      <c r="U26" s="1326"/>
      <c r="V26" s="1326"/>
      <c r="W26" s="1326"/>
    </row>
    <row r="27" spans="1:23" ht="12.75" thickBot="1">
      <c r="A27" s="1366">
        <v>3</v>
      </c>
      <c r="B27" s="1488" t="str">
        <f>"Total For Accounting Entires (Sum of Lines "&amp;A13&amp;" through "&amp;A24&amp;")"</f>
        <v>Total For Accounting Entires (Sum of Lines 1a through 2b)</v>
      </c>
      <c r="C27" s="1488"/>
      <c r="D27" s="1362"/>
      <c r="E27" s="1362"/>
      <c r="F27" s="1362"/>
      <c r="G27" s="1362"/>
      <c r="H27" s="1362"/>
      <c r="I27" s="1367">
        <f>SUM(I13:I26)</f>
        <v>0</v>
      </c>
      <c r="J27" s="1368">
        <f>SUM(J13:J26)</f>
        <v>0</v>
      </c>
      <c r="K27" s="1369">
        <f>SUM(K13:K26)</f>
        <v>0</v>
      </c>
      <c r="L27" s="1369">
        <f>SUM(L13:L26)</f>
        <v>0</v>
      </c>
      <c r="M27" s="1369">
        <f>SUM(M13:M26)</f>
        <v>0</v>
      </c>
      <c r="N27" s="1368">
        <f>-SUM(N13:N26)</f>
        <v>0</v>
      </c>
      <c r="O27" s="1368">
        <f>-SUM(O13:O26)</f>
        <v>0</v>
      </c>
      <c r="P27" s="1369">
        <f>SUM(P13:P26)</f>
        <v>0</v>
      </c>
      <c r="Q27" s="1368">
        <f>SUM(Q13:Q26)</f>
        <v>0</v>
      </c>
      <c r="R27" s="1370"/>
      <c r="S27" s="1326"/>
      <c r="T27" s="1326"/>
      <c r="U27" s="1326"/>
      <c r="V27" s="1326"/>
      <c r="W27" s="1326"/>
    </row>
    <row r="28" spans="1:23" ht="12.75" thickTop="1">
      <c r="B28" s="1360"/>
      <c r="C28" s="1361"/>
      <c r="D28" s="1330"/>
      <c r="E28" s="1330"/>
      <c r="F28" s="1330"/>
      <c r="G28" s="1330"/>
      <c r="H28" s="1330"/>
      <c r="I28" s="1371"/>
      <c r="J28" s="1353"/>
      <c r="K28" s="1372"/>
      <c r="L28" s="1372"/>
      <c r="M28" s="1372"/>
      <c r="N28" s="1373" t="s">
        <v>895</v>
      </c>
      <c r="O28" s="1373"/>
      <c r="P28" s="1372"/>
      <c r="Q28" s="1374"/>
      <c r="R28" s="1370"/>
      <c r="S28" s="1326"/>
      <c r="T28" s="1326"/>
      <c r="U28" s="1326"/>
      <c r="V28" s="1326"/>
      <c r="W28" s="1326"/>
    </row>
    <row r="29" spans="1:23">
      <c r="B29" s="1322"/>
      <c r="C29" s="1361"/>
      <c r="D29" s="1330"/>
      <c r="E29" s="1330"/>
      <c r="F29" s="1330"/>
      <c r="G29" s="1330"/>
      <c r="H29" s="1330"/>
      <c r="I29" s="1371"/>
      <c r="J29" s="1374"/>
      <c r="K29" s="1372"/>
      <c r="L29" s="1372"/>
      <c r="M29" s="1372"/>
      <c r="N29" s="1374"/>
      <c r="O29" s="1374"/>
      <c r="P29" s="1372"/>
      <c r="Q29" s="1374"/>
      <c r="R29" s="1370"/>
      <c r="S29" s="1326"/>
      <c r="T29" s="1326"/>
      <c r="U29" s="1326"/>
      <c r="V29" s="1326"/>
      <c r="W29" s="1326"/>
    </row>
    <row r="30" spans="1:23" ht="15" customHeight="1">
      <c r="A30" s="1375" t="s">
        <v>896</v>
      </c>
      <c r="B30" s="1489" t="s">
        <v>897</v>
      </c>
      <c r="C30" s="1489"/>
      <c r="D30" s="1489"/>
      <c r="E30" s="1489"/>
      <c r="F30" s="1489"/>
      <c r="G30" s="1489"/>
      <c r="H30" s="1489"/>
      <c r="I30" s="1489"/>
      <c r="J30" s="1489"/>
      <c r="K30" s="1376"/>
      <c r="L30" s="1377"/>
      <c r="O30" s="1378"/>
      <c r="P30" s="1378"/>
      <c r="Q30" s="1378"/>
      <c r="R30" s="1326"/>
    </row>
    <row r="31" spans="1:23">
      <c r="B31" s="1489"/>
      <c r="C31" s="1489"/>
      <c r="D31" s="1489"/>
      <c r="E31" s="1489"/>
      <c r="F31" s="1489"/>
      <c r="G31" s="1489"/>
      <c r="H31" s="1489"/>
      <c r="I31" s="1489"/>
      <c r="J31" s="1489"/>
      <c r="K31" s="1376"/>
      <c r="L31" s="1377"/>
      <c r="O31" s="1378"/>
      <c r="R31" s="1326"/>
    </row>
    <row r="32" spans="1:23">
      <c r="B32" s="1489"/>
      <c r="C32" s="1489"/>
      <c r="D32" s="1489"/>
      <c r="E32" s="1489"/>
      <c r="F32" s="1489"/>
      <c r="G32" s="1489"/>
      <c r="H32" s="1489"/>
      <c r="I32" s="1489"/>
      <c r="J32" s="1489"/>
      <c r="K32" s="1376"/>
      <c r="L32" s="1377"/>
      <c r="R32" s="1326"/>
    </row>
    <row r="33" spans="1:18">
      <c r="B33" s="1489"/>
      <c r="C33" s="1489"/>
      <c r="D33" s="1489"/>
      <c r="E33" s="1489"/>
      <c r="F33" s="1489"/>
      <c r="G33" s="1489"/>
      <c r="H33" s="1489"/>
      <c r="I33" s="1489"/>
      <c r="J33" s="1489"/>
      <c r="K33" s="1376"/>
      <c r="L33" s="1377"/>
      <c r="P33" s="1378"/>
      <c r="Q33" s="1378"/>
      <c r="R33" s="1326"/>
    </row>
    <row r="34" spans="1:18">
      <c r="B34" s="1489"/>
      <c r="C34" s="1489"/>
      <c r="D34" s="1489"/>
      <c r="E34" s="1489"/>
      <c r="F34" s="1489"/>
      <c r="G34" s="1489"/>
      <c r="H34" s="1489"/>
      <c r="I34" s="1489"/>
      <c r="J34" s="1489"/>
      <c r="K34" s="1376"/>
      <c r="R34" s="1326"/>
    </row>
    <row r="35" spans="1:18">
      <c r="B35" s="1489"/>
      <c r="C35" s="1489"/>
      <c r="D35" s="1489"/>
      <c r="E35" s="1489"/>
      <c r="F35" s="1489"/>
      <c r="G35" s="1489"/>
      <c r="H35" s="1489"/>
      <c r="I35" s="1489"/>
      <c r="J35" s="1489"/>
      <c r="K35" s="1376"/>
      <c r="R35" s="1326"/>
    </row>
    <row r="36" spans="1:18" ht="5.0999999999999996" customHeight="1">
      <c r="B36" s="1376"/>
      <c r="C36" s="1376"/>
      <c r="D36" s="1376"/>
      <c r="E36" s="1376"/>
      <c r="F36" s="1376"/>
      <c r="G36" s="1376"/>
      <c r="H36" s="1376"/>
      <c r="I36" s="1376"/>
      <c r="J36" s="1376"/>
      <c r="K36" s="1376"/>
      <c r="R36" s="1326"/>
    </row>
    <row r="37" spans="1:18" ht="12.6" customHeight="1">
      <c r="A37" s="1322" t="s">
        <v>898</v>
      </c>
      <c r="B37" s="1379" t="s">
        <v>899</v>
      </c>
      <c r="C37" s="1379"/>
      <c r="D37" s="1379"/>
      <c r="E37" s="1379"/>
      <c r="F37" s="1379"/>
      <c r="G37" s="1379"/>
      <c r="H37" s="1379"/>
      <c r="I37" s="1379"/>
      <c r="J37" s="1379"/>
      <c r="K37" s="1376"/>
      <c r="R37" s="1326"/>
    </row>
    <row r="38" spans="1:18" ht="5.0999999999999996" customHeight="1">
      <c r="B38" s="1376"/>
      <c r="C38" s="1376"/>
      <c r="D38" s="1376"/>
      <c r="E38" s="1376"/>
      <c r="F38" s="1376"/>
      <c r="G38" s="1376"/>
      <c r="H38" s="1376"/>
      <c r="I38" s="1376"/>
      <c r="J38" s="1376"/>
      <c r="K38" s="1376"/>
      <c r="R38" s="1326"/>
    </row>
    <row r="39" spans="1:18" s="1381" customFormat="1" ht="12.6" customHeight="1">
      <c r="A39" s="1322" t="s">
        <v>900</v>
      </c>
      <c r="B39" s="1490" t="s">
        <v>901</v>
      </c>
      <c r="C39" s="1490"/>
      <c r="D39" s="1490"/>
      <c r="E39" s="1490"/>
      <c r="F39" s="1490"/>
      <c r="G39" s="1490"/>
      <c r="H39" s="1490"/>
      <c r="I39" s="1490"/>
      <c r="J39" s="1490"/>
      <c r="K39" s="1380"/>
      <c r="R39" s="1358"/>
    </row>
    <row r="40" spans="1:18" s="1381" customFormat="1" ht="12.6" customHeight="1">
      <c r="A40" s="1322"/>
      <c r="B40" s="1490"/>
      <c r="C40" s="1490"/>
      <c r="D40" s="1490"/>
      <c r="E40" s="1490"/>
      <c r="F40" s="1490"/>
      <c r="G40" s="1490"/>
      <c r="H40" s="1490"/>
      <c r="I40" s="1490"/>
      <c r="J40" s="1490"/>
      <c r="K40" s="1380"/>
      <c r="R40" s="1358"/>
    </row>
    <row r="41" spans="1:18" ht="5.0999999999999996" customHeight="1">
      <c r="B41" s="1376"/>
      <c r="C41" s="1376"/>
      <c r="D41" s="1376"/>
      <c r="E41" s="1376"/>
      <c r="F41" s="1376"/>
      <c r="G41" s="1376"/>
      <c r="H41" s="1376"/>
      <c r="I41" s="1376"/>
      <c r="J41" s="1376"/>
      <c r="K41" s="1376"/>
      <c r="R41" s="1326"/>
    </row>
    <row r="42" spans="1:18">
      <c r="A42" s="1322" t="s">
        <v>902</v>
      </c>
      <c r="B42" s="1382" t="s">
        <v>903</v>
      </c>
      <c r="C42" s="1376"/>
      <c r="D42" s="1376"/>
      <c r="E42" s="1376"/>
      <c r="F42" s="1376"/>
      <c r="G42" s="1376"/>
      <c r="H42" s="1376"/>
      <c r="I42" s="1376"/>
      <c r="J42" s="1376"/>
      <c r="K42" s="1376"/>
      <c r="R42" s="1326"/>
    </row>
    <row r="43" spans="1:18" ht="8.1" customHeight="1">
      <c r="B43" s="1382"/>
      <c r="C43" s="1376"/>
      <c r="D43" s="1376"/>
      <c r="E43" s="1376"/>
      <c r="F43" s="1376"/>
      <c r="G43" s="1376"/>
      <c r="H43" s="1376"/>
      <c r="I43" s="1376"/>
      <c r="J43" s="1376"/>
      <c r="K43" s="1376"/>
      <c r="R43" s="1326"/>
    </row>
    <row r="44" spans="1:18">
      <c r="A44" s="1366" t="s">
        <v>904</v>
      </c>
      <c r="B44" s="1489"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89"/>
      <c r="D44" s="1489"/>
      <c r="E44" s="1489"/>
      <c r="F44" s="1489"/>
      <c r="G44" s="1489"/>
      <c r="H44" s="1489"/>
      <c r="I44" s="1489"/>
      <c r="J44" s="1376"/>
      <c r="K44" s="1377"/>
      <c r="R44" s="1326"/>
    </row>
    <row r="45" spans="1:18" ht="11.45" customHeight="1">
      <c r="B45" s="1489"/>
      <c r="C45" s="1489"/>
      <c r="D45" s="1489"/>
      <c r="E45" s="1489"/>
      <c r="F45" s="1489"/>
      <c r="G45" s="1489"/>
      <c r="H45" s="1489"/>
      <c r="I45" s="1489"/>
      <c r="J45" s="1376"/>
      <c r="R45" s="1326"/>
    </row>
    <row r="46" spans="1:18">
      <c r="R46" s="1326"/>
    </row>
    <row r="47" spans="1:18">
      <c r="R47" s="1326"/>
    </row>
    <row r="48" spans="1:18">
      <c r="R48" s="1326"/>
    </row>
    <row r="53" spans="1:11">
      <c r="A53" s="1375"/>
      <c r="B53" s="1375"/>
      <c r="C53" s="1375"/>
      <c r="D53" s="1375"/>
      <c r="E53" s="1375"/>
      <c r="F53" s="1375"/>
      <c r="G53" s="1375"/>
      <c r="H53" s="1375"/>
      <c r="I53" s="1375"/>
      <c r="J53" s="1375"/>
      <c r="K53" s="1375"/>
    </row>
    <row r="54" spans="1:11">
      <c r="A54" s="1375"/>
      <c r="B54" s="1375"/>
      <c r="C54" s="1375"/>
      <c r="D54" s="1375"/>
      <c r="E54" s="1375"/>
      <c r="F54" s="1375"/>
      <c r="G54" s="1375"/>
      <c r="H54" s="1375"/>
      <c r="I54" s="1375"/>
      <c r="J54" s="1375"/>
      <c r="K54" s="1375"/>
    </row>
    <row r="55" spans="1:11">
      <c r="D55" s="1375"/>
      <c r="E55" s="1375"/>
      <c r="F55" s="1375"/>
      <c r="G55" s="1375"/>
      <c r="H55" s="1375"/>
      <c r="I55" s="1375"/>
      <c r="J55" s="1375"/>
      <c r="K55" s="1375"/>
    </row>
    <row r="56" spans="1:11">
      <c r="A56" s="1375"/>
      <c r="B56" s="1375"/>
      <c r="C56" s="1375"/>
      <c r="D56" s="1375"/>
      <c r="E56" s="1375"/>
      <c r="F56" s="1375"/>
      <c r="G56" s="1375"/>
      <c r="H56" s="1375"/>
      <c r="I56" s="1375"/>
      <c r="J56" s="1375"/>
      <c r="K56" s="1375"/>
    </row>
    <row r="57" spans="1:11">
      <c r="A57" s="1375"/>
      <c r="B57" s="1375"/>
      <c r="C57" s="1375"/>
      <c r="D57" s="1375"/>
      <c r="E57" s="1375"/>
      <c r="F57" s="1375"/>
      <c r="G57" s="1375"/>
      <c r="H57" s="1375"/>
      <c r="I57" s="1375"/>
      <c r="J57" s="1375"/>
      <c r="K57" s="1375"/>
    </row>
    <row r="58" spans="1:11">
      <c r="A58" s="1375"/>
      <c r="B58" s="1375"/>
      <c r="C58" s="1375"/>
      <c r="D58" s="1375"/>
      <c r="E58" s="1375"/>
      <c r="F58" s="1375"/>
      <c r="G58" s="1375"/>
      <c r="H58" s="1375"/>
      <c r="I58" s="1375"/>
      <c r="J58" s="1375"/>
      <c r="K58" s="1375"/>
    </row>
    <row r="59" spans="1:11">
      <c r="A59" s="1375"/>
      <c r="B59" s="1375"/>
      <c r="C59" s="1375"/>
      <c r="D59" s="1375"/>
      <c r="E59" s="1375"/>
      <c r="F59" s="1375"/>
      <c r="G59" s="1375"/>
      <c r="H59" s="1375"/>
      <c r="I59" s="1375"/>
      <c r="J59" s="1375"/>
      <c r="K59" s="1375"/>
    </row>
    <row r="60" spans="1:11">
      <c r="A60" s="1375"/>
      <c r="B60" s="1375"/>
      <c r="C60" s="1375"/>
      <c r="D60" s="1375"/>
      <c r="E60" s="1375"/>
      <c r="F60" s="1375"/>
      <c r="G60" s="1375"/>
      <c r="H60" s="1375"/>
      <c r="I60" s="1375"/>
      <c r="J60" s="1375"/>
      <c r="K60" s="1375"/>
    </row>
    <row r="61" spans="1:11">
      <c r="A61" s="1375"/>
      <c r="B61" s="1375"/>
      <c r="C61" s="1375"/>
      <c r="D61" s="1375"/>
      <c r="E61" s="1375"/>
      <c r="F61" s="1375"/>
      <c r="G61" s="1375"/>
      <c r="H61" s="1375"/>
      <c r="I61" s="1375"/>
      <c r="J61" s="1375"/>
      <c r="K61" s="1375"/>
    </row>
    <row r="62" spans="1:11">
      <c r="A62" s="1375"/>
      <c r="B62" s="1375"/>
      <c r="C62" s="1375"/>
      <c r="D62" s="1375"/>
      <c r="E62" s="1375"/>
      <c r="F62" s="1375"/>
      <c r="G62" s="1375"/>
      <c r="H62" s="1375"/>
      <c r="I62" s="1375"/>
      <c r="J62" s="1375"/>
      <c r="K62" s="1375"/>
    </row>
    <row r="63" spans="1:11">
      <c r="A63" s="1375"/>
      <c r="B63" s="1375"/>
      <c r="C63" s="1375"/>
      <c r="D63" s="1375"/>
      <c r="E63" s="1375"/>
      <c r="F63" s="1375"/>
      <c r="G63" s="1375"/>
      <c r="H63" s="1375"/>
      <c r="I63" s="1375"/>
      <c r="J63" s="1375"/>
      <c r="K63" s="1375"/>
    </row>
    <row r="70" spans="1:11">
      <c r="B70" s="1366"/>
    </row>
    <row r="71" spans="1:11">
      <c r="B71" s="1377"/>
    </row>
    <row r="72" spans="1:11">
      <c r="B72" s="1377"/>
    </row>
    <row r="73" spans="1:11">
      <c r="B73" s="1377"/>
    </row>
    <row r="74" spans="1:11">
      <c r="B74" s="1377"/>
      <c r="D74" s="1381"/>
      <c r="E74" s="1381"/>
      <c r="F74" s="1381"/>
    </row>
    <row r="75" spans="1:11">
      <c r="A75" s="1383"/>
      <c r="B75" s="1375"/>
      <c r="C75" s="1375"/>
      <c r="D75" s="1375"/>
      <c r="E75" s="1375"/>
      <c r="F75" s="1375"/>
      <c r="G75" s="1375"/>
      <c r="H75" s="1375"/>
      <c r="I75" s="1375"/>
      <c r="J75" s="1375"/>
      <c r="K75" s="1375"/>
    </row>
    <row r="76" spans="1:11">
      <c r="A76" s="1375"/>
      <c r="B76" s="1375"/>
      <c r="C76" s="1375"/>
      <c r="D76" s="1375"/>
      <c r="E76" s="1375"/>
      <c r="F76" s="1375"/>
      <c r="G76" s="1375"/>
      <c r="H76" s="1375"/>
      <c r="I76" s="1375"/>
      <c r="J76" s="1375"/>
      <c r="K76" s="1375"/>
    </row>
    <row r="77" spans="1:11">
      <c r="A77" s="1375"/>
      <c r="B77" s="1375"/>
      <c r="C77" s="1375"/>
      <c r="D77" s="1375"/>
      <c r="E77" s="1375"/>
      <c r="F77" s="1375"/>
      <c r="G77" s="1375"/>
      <c r="H77" s="1375"/>
      <c r="I77" s="1375"/>
      <c r="J77" s="1375"/>
      <c r="K77" s="1375"/>
    </row>
    <row r="78" spans="1:11">
      <c r="A78" s="1375"/>
      <c r="B78" s="1375"/>
      <c r="C78" s="1375"/>
      <c r="D78" s="1375"/>
      <c r="E78" s="1375"/>
      <c r="F78" s="1375"/>
      <c r="G78" s="1375"/>
      <c r="H78" s="1375"/>
      <c r="I78" s="1375"/>
      <c r="J78" s="1375"/>
      <c r="K78" s="1375"/>
    </row>
    <row r="79" spans="1:11">
      <c r="A79" s="1375"/>
      <c r="B79" s="1375"/>
      <c r="C79" s="1375"/>
      <c r="D79" s="1384"/>
      <c r="E79" s="1384"/>
      <c r="F79" s="1384"/>
      <c r="G79" s="1375"/>
      <c r="H79" s="1375"/>
      <c r="I79" s="1375"/>
      <c r="J79" s="1375"/>
      <c r="K79" s="1375"/>
    </row>
    <row r="80" spans="1:11">
      <c r="A80" s="1375"/>
      <c r="B80" s="1375"/>
      <c r="C80" s="1375"/>
      <c r="D80" s="1378"/>
      <c r="E80" s="1378"/>
      <c r="F80" s="1378"/>
      <c r="G80" s="1375"/>
      <c r="H80" s="1375"/>
      <c r="I80" s="1375"/>
      <c r="J80" s="1375"/>
      <c r="K80" s="1375"/>
    </row>
    <row r="81" spans="1:11">
      <c r="A81" s="1375"/>
      <c r="B81" s="1375"/>
      <c r="C81" s="1375"/>
      <c r="D81" s="1384"/>
      <c r="E81" s="1384"/>
      <c r="F81" s="1384"/>
      <c r="G81" s="1375"/>
      <c r="H81" s="1375"/>
      <c r="I81" s="1375"/>
      <c r="J81" s="1375"/>
      <c r="K81" s="1375"/>
    </row>
    <row r="82" spans="1:11">
      <c r="A82" s="1375"/>
      <c r="B82" s="1375"/>
      <c r="C82" s="1375"/>
      <c r="D82" s="1375"/>
      <c r="E82" s="1375"/>
      <c r="F82" s="1375"/>
      <c r="G82" s="1375"/>
      <c r="H82" s="1375"/>
      <c r="I82" s="1375"/>
      <c r="J82" s="1375"/>
      <c r="K82" s="1375"/>
    </row>
    <row r="83" spans="1:11">
      <c r="A83" s="1375"/>
      <c r="B83" s="1375"/>
      <c r="C83" s="1375"/>
      <c r="D83" s="1375"/>
      <c r="E83" s="1375"/>
      <c r="F83" s="1375"/>
      <c r="G83" s="1375"/>
      <c r="H83" s="1375"/>
      <c r="I83" s="1375"/>
      <c r="J83" s="1375"/>
      <c r="K83" s="1375"/>
    </row>
    <row r="84" spans="1:11">
      <c r="A84" s="1375"/>
      <c r="B84" s="1375"/>
      <c r="C84" s="1375"/>
      <c r="D84" s="1375"/>
      <c r="E84" s="1375"/>
      <c r="F84" s="1375"/>
      <c r="G84" s="1375"/>
      <c r="H84" s="1375"/>
      <c r="I84" s="1375"/>
      <c r="J84" s="1375"/>
      <c r="K84" s="1375"/>
    </row>
    <row r="85" spans="1:11">
      <c r="A85" s="1375"/>
      <c r="C85" s="1375"/>
      <c r="D85" s="1375"/>
      <c r="E85" s="1375"/>
      <c r="F85" s="1375"/>
      <c r="G85" s="1375"/>
      <c r="H85" s="1375"/>
      <c r="I85" s="1375"/>
      <c r="J85" s="1375"/>
      <c r="K85" s="1375"/>
    </row>
    <row r="86" spans="1:11">
      <c r="A86" s="1375"/>
      <c r="B86" s="1375"/>
      <c r="C86" s="1375"/>
      <c r="D86" s="1375"/>
      <c r="E86" s="1375"/>
      <c r="F86" s="1375"/>
      <c r="G86" s="1375"/>
      <c r="H86" s="1375"/>
      <c r="I86" s="1375"/>
      <c r="J86" s="1375"/>
      <c r="K86" s="1375"/>
    </row>
    <row r="87" spans="1:11">
      <c r="A87" s="1375"/>
      <c r="B87" s="1375"/>
      <c r="C87" s="1375"/>
      <c r="D87" s="1375"/>
      <c r="E87" s="1375"/>
      <c r="F87" s="1375"/>
      <c r="G87" s="1375"/>
      <c r="H87" s="1375"/>
      <c r="I87" s="1375"/>
      <c r="J87" s="1375"/>
      <c r="K87" s="1375"/>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9D95-F003-4546-B0FC-597FEE3CDFE0}">
  <dimension ref="A1:O42"/>
  <sheetViews>
    <sheetView workbookViewId="0">
      <selection activeCell="B40" sqref="B40:O40"/>
    </sheetView>
  </sheetViews>
  <sheetFormatPr defaultRowHeight="12.75"/>
  <cols>
    <col min="1" max="4" width="9.140625" style="1404"/>
    <col min="5" max="5" width="30.28515625" style="1404" bestFit="1" customWidth="1"/>
    <col min="6" max="6" width="13" style="1404" customWidth="1"/>
    <col min="7" max="7" width="9.140625" style="1404"/>
    <col min="8" max="8" width="15.28515625" style="1404" customWidth="1"/>
    <col min="9" max="9" width="2.42578125" style="1404" customWidth="1"/>
    <col min="10" max="10" width="14.7109375" style="1404" customWidth="1"/>
    <col min="11" max="11" width="2.5703125" style="1404" customWidth="1"/>
    <col min="12" max="12" width="18.42578125" style="1404" customWidth="1"/>
    <col min="13" max="13" width="13.42578125" style="1404" customWidth="1"/>
    <col min="14" max="14" width="4.42578125" style="1404" customWidth="1"/>
    <col min="15" max="15" width="15.28515625" style="1404" customWidth="1"/>
    <col min="16" max="16384" width="9.140625" style="1404"/>
  </cols>
  <sheetData>
    <row r="1" spans="1:15" ht="15">
      <c r="A1" s="1403" t="s">
        <v>944</v>
      </c>
      <c r="L1" s="1405"/>
      <c r="M1" s="1405"/>
      <c r="N1" s="1406"/>
      <c r="O1" s="1407" t="s">
        <v>945</v>
      </c>
    </row>
    <row r="2" spans="1:15">
      <c r="A2" s="1403" t="s">
        <v>946</v>
      </c>
      <c r="N2" s="1406"/>
      <c r="O2" s="1408" t="s">
        <v>947</v>
      </c>
    </row>
    <row r="3" spans="1:15">
      <c r="A3" s="1403" t="s">
        <v>948</v>
      </c>
      <c r="N3" s="1406"/>
      <c r="O3" s="1408" t="s">
        <v>949</v>
      </c>
    </row>
    <row r="4" spans="1:15">
      <c r="A4" s="1403" t="s">
        <v>950</v>
      </c>
      <c r="N4" s="1406"/>
      <c r="O4" s="1407" t="s">
        <v>951</v>
      </c>
    </row>
    <row r="5" spans="1:15">
      <c r="A5" s="1403" t="s">
        <v>952</v>
      </c>
      <c r="N5" s="1406"/>
      <c r="O5" s="1409"/>
    </row>
    <row r="6" spans="1:15">
      <c r="A6" s="1403" t="s">
        <v>835</v>
      </c>
      <c r="N6" s="1406"/>
    </row>
    <row r="7" spans="1:15">
      <c r="A7" s="1496" t="s">
        <v>953</v>
      </c>
      <c r="B7" s="1496"/>
      <c r="C7" s="1496"/>
      <c r="D7" s="1496"/>
      <c r="E7" s="1496"/>
      <c r="F7" s="1496"/>
      <c r="G7" s="1496"/>
      <c r="H7" s="1496"/>
      <c r="I7" s="1496"/>
      <c r="J7" s="1496"/>
      <c r="K7" s="1496"/>
      <c r="L7" s="1496"/>
      <c r="M7" s="1410"/>
      <c r="N7" s="1406"/>
    </row>
    <row r="8" spans="1:15">
      <c r="A8" s="1403"/>
      <c r="N8" s="1406"/>
    </row>
    <row r="9" spans="1:15">
      <c r="A9" s="1411" t="s">
        <v>438</v>
      </c>
      <c r="B9" s="1412" t="s">
        <v>439</v>
      </c>
      <c r="C9" s="1412"/>
      <c r="D9" s="1412" t="s">
        <v>440</v>
      </c>
      <c r="E9" s="1412" t="s">
        <v>441</v>
      </c>
      <c r="F9" s="1412" t="s">
        <v>442</v>
      </c>
      <c r="G9" s="1412"/>
      <c r="H9" s="1412" t="s">
        <v>954</v>
      </c>
      <c r="I9" s="1412"/>
      <c r="J9" s="1412" t="s">
        <v>444</v>
      </c>
      <c r="K9" s="1412"/>
      <c r="L9" s="1412" t="s">
        <v>955</v>
      </c>
      <c r="M9" s="1412" t="s">
        <v>446</v>
      </c>
      <c r="N9" s="1406"/>
      <c r="O9" s="1412" t="s">
        <v>956</v>
      </c>
    </row>
    <row r="10" spans="1:15">
      <c r="A10" s="1413"/>
      <c r="F10" s="1414"/>
      <c r="G10" s="1414"/>
      <c r="H10" s="1414"/>
      <c r="N10" s="1406"/>
    </row>
    <row r="11" spans="1:15" ht="63.75">
      <c r="A11" s="1413" t="s">
        <v>957</v>
      </c>
      <c r="B11" s="1404" t="s">
        <v>958</v>
      </c>
      <c r="D11" s="1415" t="s">
        <v>959</v>
      </c>
      <c r="E11" s="1412" t="s">
        <v>853</v>
      </c>
      <c r="F11" s="1415" t="s">
        <v>960</v>
      </c>
      <c r="G11" s="1415"/>
      <c r="H11" s="1415" t="s">
        <v>961</v>
      </c>
      <c r="J11" s="1415" t="s">
        <v>962</v>
      </c>
      <c r="L11" s="1415" t="s">
        <v>963</v>
      </c>
      <c r="M11" s="1415" t="s">
        <v>964</v>
      </c>
      <c r="N11" s="1406"/>
      <c r="O11" s="1415" t="s">
        <v>965</v>
      </c>
    </row>
    <row r="12" spans="1:15">
      <c r="A12" s="1403"/>
      <c r="D12" s="1406"/>
      <c r="E12" s="1406"/>
      <c r="F12" s="1406"/>
      <c r="G12" s="1406"/>
      <c r="H12" s="1406"/>
      <c r="I12" s="1406"/>
      <c r="J12" s="1406"/>
      <c r="K12" s="1406"/>
      <c r="L12" s="1406"/>
      <c r="M12" s="1406"/>
      <c r="N12" s="1406"/>
    </row>
    <row r="13" spans="1:15">
      <c r="A13" s="1416">
        <v>1</v>
      </c>
      <c r="B13" s="1417" t="s">
        <v>966</v>
      </c>
      <c r="D13" s="1406">
        <v>30979</v>
      </c>
      <c r="E13" s="1406" t="s">
        <v>967</v>
      </c>
      <c r="K13" s="1406"/>
      <c r="L13" s="1406"/>
      <c r="M13" s="1406"/>
      <c r="N13" s="1406"/>
    </row>
    <row r="14" spans="1:15">
      <c r="A14" s="1416">
        <f>+A13+1</f>
        <v>2</v>
      </c>
      <c r="B14" s="1417"/>
      <c r="D14" s="1418">
        <v>16823.240000000002</v>
      </c>
      <c r="E14" s="1406" t="s">
        <v>968</v>
      </c>
      <c r="F14" s="1419"/>
      <c r="G14" s="1420"/>
      <c r="H14" s="1419"/>
      <c r="I14" s="1419"/>
      <c r="J14" s="1419"/>
      <c r="K14" s="1406"/>
      <c r="L14" s="1406"/>
      <c r="M14" s="1406"/>
      <c r="N14" s="1406"/>
    </row>
    <row r="15" spans="1:15">
      <c r="A15" s="1416">
        <f>+A14+1</f>
        <v>3</v>
      </c>
      <c r="B15" s="1417" t="s">
        <v>969</v>
      </c>
      <c r="D15" s="1406">
        <f>+D13-D14</f>
        <v>14155.759999999998</v>
      </c>
      <c r="F15" s="1419">
        <v>4955.3</v>
      </c>
      <c r="G15" s="1420"/>
      <c r="H15" s="1421">
        <f>+F15/D15</f>
        <v>0.35005538381549284</v>
      </c>
      <c r="J15" s="1419">
        <f>-F15</f>
        <v>-4955.3</v>
      </c>
      <c r="K15" s="1419"/>
      <c r="L15" s="1419">
        <f>+F15+J15</f>
        <v>0</v>
      </c>
      <c r="M15" s="1419" t="s">
        <v>869</v>
      </c>
      <c r="N15" s="1406"/>
      <c r="O15" s="1406">
        <f>+D15-L15</f>
        <v>14155.759999999998</v>
      </c>
    </row>
    <row r="16" spans="1:15">
      <c r="A16" s="1403"/>
      <c r="B16" s="1417"/>
      <c r="D16" s="1406"/>
      <c r="E16" s="1406"/>
      <c r="F16" s="1422"/>
      <c r="G16" s="1420"/>
      <c r="J16" s="1419"/>
      <c r="K16" s="1419"/>
      <c r="L16" s="1419"/>
      <c r="M16" s="1419"/>
      <c r="N16" s="1406"/>
      <c r="O16" s="1406"/>
    </row>
    <row r="17" spans="1:15">
      <c r="A17" s="1416">
        <f>+A15+1</f>
        <v>4</v>
      </c>
      <c r="B17" s="1417" t="s">
        <v>970</v>
      </c>
      <c r="D17" s="1406">
        <v>-24138</v>
      </c>
      <c r="E17" s="1406" t="s">
        <v>971</v>
      </c>
      <c r="F17" s="1419">
        <v>-9654.89</v>
      </c>
      <c r="G17" s="1422"/>
      <c r="H17" s="1421">
        <f>+F17/D17</f>
        <v>0.39998715717955091</v>
      </c>
      <c r="J17" s="1419">
        <v>0</v>
      </c>
      <c r="K17" s="1419"/>
      <c r="L17" s="1419">
        <f>+F17+J17</f>
        <v>-9654.89</v>
      </c>
      <c r="M17" s="1419" t="s">
        <v>865</v>
      </c>
      <c r="N17" s="1406"/>
      <c r="O17" s="1406">
        <f>+D17-L17</f>
        <v>-14483.11</v>
      </c>
    </row>
    <row r="18" spans="1:15">
      <c r="A18" s="1416"/>
      <c r="B18" s="1417"/>
      <c r="D18" s="1406"/>
      <c r="E18" s="1406"/>
      <c r="F18" s="1419"/>
      <c r="G18" s="1419"/>
      <c r="J18" s="1419"/>
      <c r="K18" s="1419"/>
      <c r="L18" s="1419"/>
      <c r="M18" s="1419"/>
      <c r="N18" s="1406"/>
      <c r="O18" s="1406"/>
    </row>
    <row r="19" spans="1:15">
      <c r="A19" s="1416">
        <f>+A17+1</f>
        <v>5</v>
      </c>
      <c r="B19" s="1417" t="s">
        <v>972</v>
      </c>
      <c r="D19" s="1406">
        <v>-23866</v>
      </c>
      <c r="E19" s="1406" t="s">
        <v>973</v>
      </c>
      <c r="N19" s="1406"/>
      <c r="O19" s="1406"/>
    </row>
    <row r="20" spans="1:15">
      <c r="A20" s="1416">
        <f>+A19+1</f>
        <v>6</v>
      </c>
      <c r="B20" s="1417"/>
      <c r="D20" s="1418">
        <v>-17978</v>
      </c>
      <c r="E20" s="1406" t="s">
        <v>974</v>
      </c>
      <c r="F20" s="1419"/>
      <c r="G20" s="1423"/>
      <c r="H20" s="1421"/>
      <c r="J20" s="1419"/>
      <c r="K20" s="1419"/>
      <c r="L20" s="1419"/>
      <c r="M20" s="1419"/>
      <c r="N20" s="1406"/>
      <c r="O20" s="1406"/>
    </row>
    <row r="21" spans="1:15">
      <c r="A21" s="1416">
        <f>+A20+1</f>
        <v>7</v>
      </c>
      <c r="B21" s="1417" t="s">
        <v>975</v>
      </c>
      <c r="D21" s="1406">
        <f>+D19-D20</f>
        <v>-5888</v>
      </c>
      <c r="E21" s="1406"/>
      <c r="F21" s="1419">
        <v>-2355.25</v>
      </c>
      <c r="G21" s="1423"/>
      <c r="H21" s="1421">
        <f>+F21/D21</f>
        <v>0.40000849184782611</v>
      </c>
      <c r="J21" s="1419">
        <f>-J15-J17</f>
        <v>4955.3</v>
      </c>
      <c r="K21" s="1419"/>
      <c r="L21" s="1419">
        <f>+F21+J21</f>
        <v>2600.0500000000002</v>
      </c>
      <c r="M21" s="1419" t="s">
        <v>869</v>
      </c>
      <c r="N21" s="1406"/>
      <c r="O21" s="1406">
        <f>+D21-L21</f>
        <v>-8488.0499999999993</v>
      </c>
    </row>
    <row r="22" spans="1:15">
      <c r="A22" s="1403"/>
      <c r="D22" s="1406"/>
      <c r="E22" s="1406"/>
      <c r="F22" s="1419"/>
      <c r="G22" s="1424"/>
      <c r="J22" s="1419"/>
      <c r="K22" s="1419"/>
      <c r="L22" s="1419"/>
      <c r="M22" s="1419"/>
      <c r="N22" s="1406"/>
    </row>
    <row r="23" spans="1:15">
      <c r="A23" s="1416">
        <f>+A21+1</f>
        <v>8</v>
      </c>
      <c r="B23" s="1404" t="s">
        <v>410</v>
      </c>
      <c r="D23" s="1425">
        <f>+D15+D17+D21</f>
        <v>-15870.240000000002</v>
      </c>
      <c r="E23" s="1406"/>
      <c r="F23" s="1425">
        <f>SUM(F14:F21)</f>
        <v>-7054.8399999999992</v>
      </c>
      <c r="J23" s="1425">
        <f>+J15+J17+J21</f>
        <v>0</v>
      </c>
      <c r="K23" s="1406"/>
      <c r="L23" s="1425">
        <f>+L15+L17+L21</f>
        <v>-7054.8399999999992</v>
      </c>
      <c r="M23" s="1426"/>
      <c r="N23" s="1406"/>
      <c r="O23" s="1425">
        <f>+O15+O17+O21</f>
        <v>-8815.4000000000015</v>
      </c>
    </row>
    <row r="24" spans="1:15">
      <c r="A24" s="1403"/>
      <c r="D24" s="1406"/>
      <c r="E24" s="1427"/>
      <c r="F24" s="1421"/>
      <c r="G24" s="1406"/>
      <c r="H24" s="1406"/>
      <c r="I24" s="1406"/>
      <c r="J24" s="1406"/>
      <c r="K24" s="1406"/>
      <c r="L24" s="1406"/>
      <c r="M24" s="1406"/>
      <c r="N24" s="1406"/>
    </row>
    <row r="25" spans="1:15">
      <c r="A25" s="1403"/>
      <c r="D25" s="1406"/>
      <c r="E25" s="1427"/>
      <c r="F25" s="1421"/>
      <c r="G25" s="1406"/>
      <c r="H25" s="1406"/>
      <c r="I25" s="1406"/>
      <c r="J25" s="1406"/>
      <c r="K25" s="1406"/>
      <c r="L25" s="1406"/>
      <c r="M25" s="1406"/>
      <c r="N25" s="1406"/>
    </row>
    <row r="26" spans="1:15">
      <c r="A26" s="1497" t="s">
        <v>976</v>
      </c>
      <c r="B26" s="1497"/>
      <c r="C26" s="1497"/>
      <c r="D26" s="1497"/>
      <c r="E26" s="1497"/>
      <c r="F26" s="1497"/>
      <c r="G26" s="1497"/>
      <c r="H26" s="1497"/>
      <c r="I26" s="1497"/>
      <c r="J26" s="1428"/>
      <c r="K26" s="1428"/>
      <c r="L26" s="1406"/>
      <c r="M26" s="1406"/>
      <c r="N26" s="1406"/>
    </row>
    <row r="27" spans="1:15">
      <c r="A27" s="1497"/>
      <c r="B27" s="1497"/>
      <c r="C27" s="1497"/>
      <c r="D27" s="1497"/>
      <c r="E27" s="1497"/>
      <c r="F27" s="1497"/>
      <c r="G27" s="1497"/>
      <c r="H27" s="1497"/>
      <c r="I27" s="1497"/>
      <c r="J27" s="1428"/>
      <c r="K27" s="1428"/>
      <c r="L27" s="1406"/>
      <c r="M27" s="1406"/>
      <c r="N27" s="1406"/>
    </row>
    <row r="28" spans="1:15">
      <c r="A28" s="1497"/>
      <c r="B28" s="1497"/>
      <c r="C28" s="1497"/>
      <c r="D28" s="1497"/>
      <c r="E28" s="1497"/>
      <c r="F28" s="1497"/>
      <c r="G28" s="1497"/>
      <c r="H28" s="1497"/>
      <c r="I28" s="1497"/>
      <c r="J28" s="1428"/>
      <c r="K28" s="1428"/>
      <c r="L28" s="1406"/>
      <c r="M28" s="1406"/>
      <c r="N28" s="1406"/>
    </row>
    <row r="29" spans="1:15">
      <c r="A29" s="1429"/>
      <c r="B29" s="1429"/>
      <c r="C29" s="1429"/>
      <c r="D29" s="1429"/>
      <c r="E29" s="1429"/>
      <c r="F29" s="1429"/>
      <c r="G29" s="1429"/>
      <c r="H29" s="1429"/>
      <c r="I29" s="1429"/>
      <c r="J29" s="1428"/>
      <c r="K29" s="1428"/>
      <c r="L29" s="1406"/>
      <c r="M29" s="1406"/>
      <c r="N29" s="1406"/>
    </row>
    <row r="30" spans="1:15" ht="12.75" customHeight="1">
      <c r="A30" s="1430" t="s">
        <v>977</v>
      </c>
      <c r="B30" s="1498" t="s">
        <v>978</v>
      </c>
      <c r="C30" s="1498"/>
      <c r="D30" s="1498"/>
      <c r="E30" s="1498"/>
      <c r="F30" s="1498"/>
      <c r="G30" s="1498"/>
      <c r="H30" s="1498"/>
      <c r="I30" s="1498"/>
      <c r="J30" s="1498"/>
      <c r="K30" s="1498"/>
      <c r="L30" s="1498"/>
      <c r="M30" s="1498"/>
      <c r="N30" s="1498"/>
      <c r="O30" s="1498"/>
    </row>
    <row r="31" spans="1:15">
      <c r="A31" s="1430"/>
      <c r="B31" s="1498"/>
      <c r="C31" s="1498"/>
      <c r="D31" s="1498"/>
      <c r="E31" s="1498"/>
      <c r="F31" s="1498"/>
      <c r="G31" s="1498"/>
      <c r="H31" s="1498"/>
      <c r="I31" s="1498"/>
      <c r="J31" s="1498"/>
      <c r="K31" s="1498"/>
      <c r="L31" s="1498"/>
      <c r="M31" s="1498"/>
      <c r="N31" s="1498"/>
      <c r="O31" s="1498"/>
    </row>
    <row r="32" spans="1:15">
      <c r="A32" s="1430"/>
      <c r="B32" s="1498"/>
      <c r="C32" s="1498"/>
      <c r="D32" s="1498"/>
      <c r="E32" s="1498"/>
      <c r="F32" s="1498"/>
      <c r="G32" s="1498"/>
      <c r="H32" s="1498"/>
      <c r="I32" s="1498"/>
      <c r="J32" s="1498"/>
      <c r="K32" s="1498"/>
      <c r="L32" s="1498"/>
      <c r="M32" s="1498"/>
      <c r="N32" s="1498"/>
      <c r="O32" s="1498"/>
    </row>
    <row r="33" spans="1:15">
      <c r="A33" s="1431"/>
      <c r="B33" s="1432"/>
      <c r="C33" s="1432"/>
      <c r="D33" s="1432"/>
      <c r="E33" s="1432"/>
      <c r="F33" s="1432"/>
      <c r="G33" s="1432"/>
      <c r="H33" s="1432"/>
      <c r="I33" s="1432"/>
      <c r="J33" s="1432"/>
      <c r="K33" s="1432"/>
      <c r="N33" s="1406"/>
    </row>
    <row r="34" spans="1:15" ht="12.75" customHeight="1">
      <c r="A34" s="1413" t="s">
        <v>979</v>
      </c>
      <c r="B34" s="1499" t="s">
        <v>980</v>
      </c>
      <c r="C34" s="1499"/>
      <c r="D34" s="1499"/>
      <c r="E34" s="1499"/>
      <c r="F34" s="1499"/>
      <c r="G34" s="1499"/>
      <c r="H34" s="1499"/>
      <c r="I34" s="1499"/>
      <c r="J34" s="1499"/>
      <c r="K34" s="1499"/>
      <c r="L34" s="1499"/>
      <c r="M34" s="1499"/>
      <c r="N34" s="1406"/>
    </row>
    <row r="35" spans="1:15">
      <c r="A35" s="1413"/>
      <c r="B35" s="1499"/>
      <c r="C35" s="1499"/>
      <c r="D35" s="1499"/>
      <c r="E35" s="1499"/>
      <c r="F35" s="1499"/>
      <c r="G35" s="1499"/>
      <c r="H35" s="1499"/>
      <c r="I35" s="1499"/>
      <c r="J35" s="1499"/>
      <c r="K35" s="1499"/>
      <c r="L35" s="1499"/>
      <c r="M35" s="1499"/>
      <c r="N35" s="1406"/>
    </row>
    <row r="36" spans="1:15">
      <c r="A36" s="1413"/>
      <c r="N36" s="1406"/>
    </row>
    <row r="37" spans="1:15" ht="12.75" customHeight="1">
      <c r="A37" s="1413" t="s">
        <v>981</v>
      </c>
      <c r="B37" s="1499" t="s">
        <v>982</v>
      </c>
      <c r="C37" s="1499"/>
      <c r="D37" s="1499"/>
      <c r="E37" s="1499"/>
      <c r="F37" s="1499"/>
      <c r="G37" s="1499"/>
      <c r="H37" s="1499"/>
      <c r="I37" s="1499"/>
      <c r="J37" s="1499"/>
      <c r="K37" s="1499"/>
      <c r="N37" s="1406"/>
    </row>
    <row r="38" spans="1:15">
      <c r="A38" s="1413"/>
      <c r="B38" s="1499"/>
      <c r="C38" s="1499"/>
      <c r="D38" s="1499"/>
      <c r="E38" s="1499"/>
      <c r="F38" s="1499"/>
      <c r="G38" s="1499"/>
      <c r="H38" s="1499"/>
      <c r="I38" s="1499"/>
      <c r="J38" s="1499"/>
      <c r="K38" s="1499"/>
      <c r="N38" s="1406"/>
    </row>
    <row r="40" spans="1:15" ht="12.75" customHeight="1">
      <c r="A40" s="1413" t="s">
        <v>983</v>
      </c>
      <c r="B40" s="1495" t="s">
        <v>984</v>
      </c>
      <c r="C40" s="1495"/>
      <c r="D40" s="1495"/>
      <c r="E40" s="1495"/>
      <c r="F40" s="1495"/>
      <c r="G40" s="1495"/>
      <c r="H40" s="1495"/>
      <c r="I40" s="1495"/>
      <c r="J40" s="1495"/>
      <c r="K40" s="1495"/>
      <c r="L40" s="1495"/>
      <c r="M40" s="1495"/>
      <c r="N40" s="1495"/>
      <c r="O40" s="1495"/>
    </row>
    <row r="41" spans="1:15">
      <c r="A41" s="1413"/>
      <c r="B41" s="1413"/>
      <c r="C41" s="1413"/>
      <c r="D41" s="1413"/>
      <c r="E41" s="1413"/>
      <c r="F41" s="1413"/>
      <c r="G41" s="1413"/>
      <c r="H41" s="1413"/>
    </row>
    <row r="42" spans="1:15">
      <c r="O42" s="1406"/>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zoomScale="70" zoomScaleNormal="75" zoomScaleSheetLayoutView="70" workbookViewId="0">
      <selection activeCell="D40" sqref="D40"/>
    </sheetView>
  </sheetViews>
  <sheetFormatPr defaultColWidth="11.42578125" defaultRowHeight="12.75"/>
  <cols>
    <col min="1" max="1" width="8.140625" style="425" customWidth="1"/>
    <col min="2" max="2" width="12.140625" style="423" customWidth="1"/>
    <col min="3" max="3" width="41.7109375" style="423" customWidth="1"/>
    <col min="4" max="4" width="30" style="423" customWidth="1"/>
    <col min="5" max="5" width="22.140625" style="428" customWidth="1"/>
    <col min="6" max="6" width="1" style="428" customWidth="1"/>
    <col min="7" max="7" width="20.85546875" style="423" customWidth="1"/>
    <col min="8" max="8" width="1" style="423" customWidth="1"/>
    <col min="9" max="9" width="19.140625" style="423" customWidth="1"/>
    <col min="10" max="10" width="16.7109375" style="423" customWidth="1"/>
    <col min="11" max="11" width="15.28515625" style="423" customWidth="1"/>
    <col min="12" max="12" width="34" style="423" customWidth="1"/>
    <col min="13" max="13" width="21.28515625" style="423" customWidth="1"/>
    <col min="14" max="14" width="13.42578125" style="423" customWidth="1"/>
    <col min="15" max="15" width="13.7109375" style="423" customWidth="1"/>
    <col min="16" max="16384" width="11.42578125" style="423"/>
  </cols>
  <sheetData>
    <row r="1" spans="1:15" ht="15.75">
      <c r="A1" s="1006"/>
    </row>
    <row r="2" spans="1:15" ht="15.75">
      <c r="A2" s="1006"/>
    </row>
    <row r="3" spans="1:15"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1474" t="str">
        <f>TCOS!$F$5</f>
        <v>AEPTCo subsidiaries in PJM</v>
      </c>
      <c r="K3" s="1474" t="str">
        <f>TCOS!$F$5</f>
        <v>AEPTCo subsidiaries in PJM</v>
      </c>
      <c r="L3" s="1474" t="str">
        <f>TCOS!$F$5</f>
        <v>AEPTCo subsidiaries in PJM</v>
      </c>
      <c r="M3" s="422"/>
      <c r="N3" s="422"/>
      <c r="O3" s="422"/>
    </row>
    <row r="4" spans="1:15" ht="15">
      <c r="A4" s="1502" t="str">
        <f>"Cost of Service Formula Rate Using Actual/Projected FF1 Balances"</f>
        <v>Cost of Service Formula Rate Using Actual/Projected FF1 Balances</v>
      </c>
      <c r="B4" s="1502"/>
      <c r="C4" s="1502"/>
      <c r="D4" s="1502"/>
      <c r="E4" s="1502"/>
      <c r="F4" s="1502"/>
      <c r="G4" s="1502"/>
      <c r="H4" s="1502"/>
      <c r="I4" s="1502"/>
      <c r="J4" s="1502"/>
      <c r="K4" s="1502"/>
      <c r="L4" s="1502"/>
      <c r="M4" s="442"/>
      <c r="N4" s="442"/>
      <c r="O4" s="442"/>
    </row>
    <row r="5" spans="1:15" ht="15">
      <c r="A5" s="1502" t="s">
        <v>283</v>
      </c>
      <c r="B5" s="1502"/>
      <c r="C5" s="1502"/>
      <c r="D5" s="1502"/>
      <c r="E5" s="1502"/>
      <c r="F5" s="1502"/>
      <c r="G5" s="1502"/>
      <c r="H5" s="1502"/>
      <c r="I5" s="1502"/>
      <c r="J5" s="1502"/>
      <c r="K5" s="1502"/>
      <c r="L5" s="1502"/>
      <c r="M5" s="424"/>
      <c r="N5" s="424"/>
      <c r="O5" s="424"/>
    </row>
    <row r="6" spans="1:15" ht="15">
      <c r="A6" s="1503" t="str">
        <f>TCOS!F9</f>
        <v>West Virginia Transmission Company</v>
      </c>
      <c r="B6" s="1503"/>
      <c r="C6" s="1503"/>
      <c r="D6" s="1503"/>
      <c r="E6" s="1503"/>
      <c r="F6" s="1503"/>
      <c r="G6" s="1503"/>
      <c r="H6" s="1503"/>
      <c r="I6" s="1503"/>
      <c r="J6" s="1503"/>
      <c r="K6" s="1503"/>
      <c r="L6" s="1503"/>
      <c r="M6" s="169"/>
      <c r="N6" s="169"/>
      <c r="O6" s="169"/>
    </row>
    <row r="7" spans="1:15" ht="15">
      <c r="A7" s="169"/>
      <c r="B7" s="169"/>
      <c r="C7" s="169"/>
      <c r="D7" s="169"/>
      <c r="E7" s="169"/>
      <c r="F7" s="169"/>
      <c r="G7" s="169"/>
      <c r="H7" s="443"/>
      <c r="I7" s="438"/>
      <c r="J7" s="438"/>
      <c r="K7" s="438"/>
      <c r="L7" s="438"/>
      <c r="M7" s="438"/>
      <c r="N7" s="438"/>
      <c r="O7" s="438"/>
    </row>
    <row r="8" spans="1:15" ht="12.75" customHeight="1">
      <c r="A8" s="444"/>
      <c r="B8" s="444" t="s">
        <v>452</v>
      </c>
      <c r="C8" s="444" t="s">
        <v>453</v>
      </c>
      <c r="D8" s="445" t="s">
        <v>323</v>
      </c>
      <c r="E8" s="445" t="s">
        <v>455</v>
      </c>
      <c r="F8" s="444"/>
      <c r="G8" s="444" t="s">
        <v>375</v>
      </c>
      <c r="H8" s="444"/>
      <c r="I8" s="444" t="s">
        <v>376</v>
      </c>
      <c r="J8" s="444" t="s">
        <v>377</v>
      </c>
      <c r="K8" s="444" t="s">
        <v>382</v>
      </c>
      <c r="L8" s="444" t="s">
        <v>288</v>
      </c>
      <c r="M8" s="444"/>
      <c r="N8" s="444"/>
      <c r="O8" s="444"/>
    </row>
    <row r="9" spans="1:15">
      <c r="A9" s="439"/>
    </row>
    <row r="10" spans="1:15" ht="18">
      <c r="A10" s="430"/>
      <c r="B10" s="1501" t="s">
        <v>489</v>
      </c>
      <c r="C10" s="1501"/>
      <c r="D10" s="1501"/>
      <c r="E10" s="1501"/>
      <c r="F10" s="1501"/>
      <c r="G10" s="1501"/>
      <c r="H10" s="1501"/>
      <c r="I10" s="1501"/>
      <c r="J10" s="1501"/>
      <c r="K10" s="1501"/>
      <c r="O10" s="428"/>
    </row>
    <row r="11" spans="1:15">
      <c r="A11" s="430"/>
      <c r="I11" s="156"/>
      <c r="J11" s="156"/>
      <c r="O11" s="428"/>
    </row>
    <row r="12" spans="1:15" ht="12.75" customHeight="1">
      <c r="A12" s="426" t="s">
        <v>459</v>
      </c>
      <c r="B12" s="434"/>
      <c r="C12" s="446"/>
      <c r="D12" s="447"/>
      <c r="E12" s="1505" t="str">
        <f>"Balance @ December 31, "&amp;TCOS!L4&amp;""</f>
        <v>Balance @ December 31, 2025</v>
      </c>
      <c r="F12" s="447"/>
      <c r="G12" s="1505" t="str">
        <f>"Balance @ December 31, "&amp;TCOS!L4-1&amp;""</f>
        <v>Balance @ December 31, 2024</v>
      </c>
      <c r="H12" s="448"/>
      <c r="I12" s="1507" t="str">
        <f>"Average Balance for "&amp;TCOS!L4&amp;""</f>
        <v>Average Balance for 2025</v>
      </c>
      <c r="J12" s="427"/>
      <c r="K12" s="431"/>
      <c r="L12" s="449"/>
      <c r="M12" s="431"/>
      <c r="N12" s="431"/>
      <c r="O12" s="428"/>
    </row>
    <row r="13" spans="1:15">
      <c r="A13" s="426" t="s">
        <v>397</v>
      </c>
      <c r="B13" s="432"/>
      <c r="C13" s="434"/>
      <c r="D13" s="450" t="s">
        <v>488</v>
      </c>
      <c r="E13" s="1506"/>
      <c r="F13" s="451"/>
      <c r="G13" s="1506"/>
      <c r="H13" s="452"/>
      <c r="I13" s="1508"/>
      <c r="J13" s="427"/>
      <c r="K13" s="453"/>
      <c r="L13" s="454"/>
      <c r="M13" s="429"/>
      <c r="N13" s="429"/>
    </row>
    <row r="14" spans="1:15">
      <c r="A14" s="432"/>
      <c r="B14" s="432"/>
      <c r="C14" s="434"/>
      <c r="D14" s="455"/>
      <c r="E14" s="437"/>
      <c r="F14" s="437"/>
      <c r="G14" s="456"/>
      <c r="H14" s="436"/>
      <c r="J14" s="156"/>
      <c r="K14" s="453"/>
      <c r="L14" s="454"/>
      <c r="M14" s="429"/>
      <c r="N14" s="429"/>
    </row>
    <row r="15" spans="1:15">
      <c r="A15" s="432">
        <v>1</v>
      </c>
      <c r="B15" s="432"/>
      <c r="D15" s="457"/>
      <c r="E15" s="458"/>
      <c r="F15" s="437"/>
      <c r="G15" s="458"/>
      <c r="H15" s="458"/>
      <c r="I15" s="458"/>
      <c r="K15" s="458"/>
      <c r="L15" s="458"/>
      <c r="M15" s="429"/>
      <c r="N15" s="429"/>
    </row>
    <row r="16" spans="1:15">
      <c r="A16" s="432"/>
      <c r="B16" s="432"/>
      <c r="C16" s="457"/>
      <c r="D16" s="457"/>
      <c r="E16" s="458"/>
      <c r="F16" s="437"/>
      <c r="G16" s="458"/>
      <c r="H16" s="458"/>
      <c r="I16" s="458"/>
      <c r="K16" s="458"/>
      <c r="L16" s="458"/>
      <c r="M16" s="429"/>
      <c r="N16" s="429"/>
    </row>
    <row r="17" spans="1:14">
      <c r="A17" s="432">
        <f>+A15+1</f>
        <v>2</v>
      </c>
      <c r="B17" s="432"/>
      <c r="C17" s="457" t="s">
        <v>316</v>
      </c>
      <c r="D17" s="433" t="s">
        <v>210</v>
      </c>
      <c r="E17" s="1317">
        <v>0</v>
      </c>
      <c r="F17" s="437"/>
      <c r="G17" s="1317">
        <v>0</v>
      </c>
      <c r="H17" s="458"/>
      <c r="I17" s="435">
        <f>IF(G17="",0,(E17+G17)/2)</f>
        <v>0</v>
      </c>
      <c r="J17" s="173"/>
      <c r="K17" s="435"/>
      <c r="L17" s="458"/>
      <c r="M17" s="429"/>
      <c r="N17" s="429"/>
    </row>
    <row r="18" spans="1:14">
      <c r="A18" s="432"/>
      <c r="B18" s="432"/>
      <c r="C18" s="457"/>
      <c r="D18" s="173"/>
      <c r="E18" s="173"/>
      <c r="F18" s="173"/>
      <c r="G18" s="173"/>
      <c r="H18" s="173"/>
      <c r="I18" s="348"/>
      <c r="J18" s="173"/>
      <c r="K18" s="173"/>
      <c r="L18" s="458"/>
      <c r="M18" s="429"/>
      <c r="N18" s="429"/>
    </row>
    <row r="19" spans="1:14">
      <c r="A19" s="432">
        <f>+A17+1</f>
        <v>3</v>
      </c>
      <c r="B19" s="432"/>
      <c r="C19" s="457" t="s">
        <v>317</v>
      </c>
      <c r="D19" s="433" t="s">
        <v>211</v>
      </c>
      <c r="E19" s="500"/>
      <c r="F19" s="437"/>
      <c r="G19" s="500"/>
      <c r="H19" s="436"/>
      <c r="I19" s="435">
        <f>IF(G19="",0,(E19+G19)/2)</f>
        <v>0</v>
      </c>
      <c r="J19" s="156"/>
      <c r="K19" s="453"/>
      <c r="L19" s="454"/>
      <c r="M19" s="429"/>
      <c r="N19" s="429"/>
    </row>
    <row r="20" spans="1:14">
      <c r="A20" s="432"/>
      <c r="B20" s="432"/>
      <c r="C20" s="457"/>
      <c r="D20" s="433"/>
      <c r="E20" s="173"/>
      <c r="F20" s="173"/>
      <c r="G20" s="173"/>
      <c r="H20" s="173"/>
      <c r="I20" s="173"/>
      <c r="J20" s="173"/>
      <c r="K20" s="453"/>
      <c r="L20" s="454"/>
      <c r="M20" s="429"/>
      <c r="N20" s="429"/>
    </row>
    <row r="21" spans="1:14">
      <c r="A21" s="432">
        <f>+A19+1</f>
        <v>4</v>
      </c>
      <c r="B21" s="432"/>
      <c r="C21" s="42" t="s">
        <v>767</v>
      </c>
      <c r="D21" s="433" t="s">
        <v>212</v>
      </c>
      <c r="E21" s="500"/>
      <c r="F21" s="437"/>
      <c r="G21" s="500"/>
      <c r="H21" s="436"/>
      <c r="I21" s="435">
        <f>IF(G21="",0,(E21+G21)/2)</f>
        <v>0</v>
      </c>
      <c r="J21" s="156"/>
      <c r="K21" s="453"/>
      <c r="L21" s="454"/>
      <c r="M21" s="429"/>
      <c r="N21" s="429"/>
    </row>
    <row r="22" spans="1:14">
      <c r="A22" s="432"/>
      <c r="B22" s="432"/>
      <c r="C22" s="434"/>
      <c r="D22" s="455"/>
      <c r="E22" s="437"/>
      <c r="F22" s="437"/>
      <c r="G22" s="428"/>
      <c r="H22" s="436"/>
      <c r="I22" s="428"/>
      <c r="J22" s="156"/>
      <c r="K22" s="453"/>
      <c r="L22" s="454"/>
      <c r="M22" s="429"/>
      <c r="N22" s="429"/>
    </row>
    <row r="23" spans="1:14">
      <c r="A23" s="459"/>
      <c r="B23" s="459"/>
      <c r="C23" s="460"/>
      <c r="D23" s="461"/>
      <c r="E23" s="462"/>
      <c r="F23" s="462"/>
      <c r="G23" s="463"/>
      <c r="H23" s="464"/>
      <c r="I23" s="463"/>
      <c r="J23" s="465"/>
      <c r="K23" s="466"/>
      <c r="L23" s="467"/>
      <c r="M23" s="429"/>
      <c r="N23" s="429"/>
    </row>
    <row r="24" spans="1:14" ht="18">
      <c r="A24" s="432"/>
      <c r="B24" s="1501" t="s">
        <v>768</v>
      </c>
      <c r="C24" s="1501"/>
      <c r="D24" s="1501"/>
      <c r="E24" s="1501"/>
      <c r="F24" s="1501"/>
      <c r="G24" s="1501"/>
      <c r="H24" s="1501"/>
      <c r="I24" s="1501"/>
      <c r="J24" s="1501"/>
      <c r="K24" s="1501"/>
      <c r="L24" s="454"/>
      <c r="M24" s="429"/>
      <c r="N24" s="429"/>
    </row>
    <row r="25" spans="1:14" ht="12.75" customHeight="1">
      <c r="A25" s="432"/>
      <c r="B25" s="468"/>
      <c r="C25" s="434"/>
      <c r="D25" s="469"/>
      <c r="E25" s="470"/>
      <c r="F25" s="423"/>
      <c r="G25" s="470" t="s">
        <v>378</v>
      </c>
      <c r="I25" s="471" t="s">
        <v>407</v>
      </c>
      <c r="J25" s="471" t="s">
        <v>407</v>
      </c>
      <c r="K25" s="471" t="s">
        <v>469</v>
      </c>
      <c r="L25" s="454"/>
      <c r="M25" s="429"/>
      <c r="N25" s="429"/>
    </row>
    <row r="26" spans="1:14" ht="12.75" customHeight="1">
      <c r="A26" s="432"/>
      <c r="B26" s="468"/>
      <c r="C26" s="434"/>
      <c r="D26" s="472" t="s">
        <v>289</v>
      </c>
      <c r="E26" s="471" t="s">
        <v>319</v>
      </c>
      <c r="F26" s="423"/>
      <c r="G26" s="471" t="s">
        <v>407</v>
      </c>
      <c r="I26" s="471" t="s">
        <v>309</v>
      </c>
      <c r="J26" s="471" t="s">
        <v>451</v>
      </c>
      <c r="K26" s="471" t="s">
        <v>470</v>
      </c>
      <c r="L26" s="454"/>
      <c r="M26" s="429"/>
      <c r="N26" s="429"/>
    </row>
    <row r="27" spans="1:14" ht="12.75" customHeight="1">
      <c r="A27" s="432">
        <f>+A21+1</f>
        <v>5</v>
      </c>
      <c r="B27" s="468"/>
      <c r="C27" s="434"/>
      <c r="D27" s="473" t="s">
        <v>379</v>
      </c>
      <c r="E27" s="473" t="s">
        <v>290</v>
      </c>
      <c r="F27" s="423"/>
      <c r="G27" s="473" t="s">
        <v>310</v>
      </c>
      <c r="I27" s="473" t="s">
        <v>310</v>
      </c>
      <c r="J27" s="473" t="s">
        <v>310</v>
      </c>
      <c r="K27" s="473" t="s">
        <v>311</v>
      </c>
      <c r="L27" s="454"/>
      <c r="M27" s="429"/>
      <c r="N27" s="429"/>
    </row>
    <row r="28" spans="1:14">
      <c r="A28" s="432"/>
      <c r="B28" s="432"/>
      <c r="C28" s="434"/>
      <c r="D28" s="455"/>
      <c r="E28" s="437"/>
      <c r="F28" s="437"/>
      <c r="G28" s="428"/>
      <c r="H28" s="436"/>
      <c r="I28" s="428"/>
      <c r="J28" s="156"/>
      <c r="K28" s="474"/>
      <c r="L28" s="454"/>
      <c r="M28" s="429"/>
      <c r="N28" s="429"/>
    </row>
    <row r="29" spans="1:14">
      <c r="A29" s="432">
        <f>+A27+1</f>
        <v>6</v>
      </c>
      <c r="B29" s="432"/>
      <c r="C29" s="423" t="str">
        <f>"Totals as of December 31, "&amp;TCOS!L4&amp;""</f>
        <v>Totals as of December 31, 2025</v>
      </c>
      <c r="D29" s="475">
        <f>ROUND(D55,0)</f>
        <v>813922</v>
      </c>
      <c r="E29" s="476">
        <f>ROUND(E55,0)</f>
        <v>0</v>
      </c>
      <c r="F29" s="477"/>
      <c r="G29" s="475">
        <f>ROUND(G55,0)</f>
        <v>0</v>
      </c>
      <c r="H29" s="436"/>
      <c r="I29" s="475">
        <f>ROUND(I55,0)</f>
        <v>813922</v>
      </c>
      <c r="J29" s="478">
        <f>+J55</f>
        <v>0</v>
      </c>
      <c r="K29" s="475">
        <f>ROUND(K55,0)</f>
        <v>813922</v>
      </c>
      <c r="L29" s="454"/>
      <c r="M29" s="429"/>
      <c r="N29" s="429"/>
    </row>
    <row r="30" spans="1:14">
      <c r="A30" s="432">
        <f>+A29+1</f>
        <v>7</v>
      </c>
      <c r="B30" s="432"/>
      <c r="C30" s="423" t="str">
        <f>"Totals as of December 31, "&amp;(TCOS!L4-1)&amp;""</f>
        <v>Totals as of December 31, 2024</v>
      </c>
      <c r="D30" s="479">
        <f>ROUND(D79,0)</f>
        <v>813922</v>
      </c>
      <c r="E30" s="480">
        <f>ROUND(E79,0)</f>
        <v>0</v>
      </c>
      <c r="F30" s="437"/>
      <c r="G30" s="479">
        <f>ROUND(G79,0)</f>
        <v>0</v>
      </c>
      <c r="H30" s="436"/>
      <c r="I30" s="479">
        <f>ROUND(I79,0)</f>
        <v>813922</v>
      </c>
      <c r="J30" s="479">
        <f>+J79</f>
        <v>0</v>
      </c>
      <c r="K30" s="479">
        <f>ROUND(K79,0)</f>
        <v>813922</v>
      </c>
      <c r="L30" s="454"/>
      <c r="M30" s="429"/>
      <c r="N30" s="429"/>
    </row>
    <row r="31" spans="1:14" ht="13.5" thickBot="1">
      <c r="A31" s="432">
        <f>+A30+1</f>
        <v>8</v>
      </c>
      <c r="B31" s="432"/>
      <c r="C31" s="481" t="s">
        <v>495</v>
      </c>
      <c r="D31" s="482">
        <f>IF(D30="",0,(D29+D30)/2)</f>
        <v>813922</v>
      </c>
      <c r="E31" s="482">
        <f>IF(E30="",0,(E29+E30)/2)</f>
        <v>0</v>
      </c>
      <c r="F31" s="483"/>
      <c r="G31" s="482">
        <f>IF(G30="",0,(G29+G30)/2)</f>
        <v>0</v>
      </c>
      <c r="H31" s="484"/>
      <c r="I31" s="482">
        <f>IF(I30="",0,(I29+I30)/2)</f>
        <v>813922</v>
      </c>
      <c r="J31" s="482">
        <f>IF(J30="",0,(J29+J30)/2)</f>
        <v>0</v>
      </c>
      <c r="K31" s="482">
        <f>IF(K30="",0,(K29+K30)/2)</f>
        <v>813922</v>
      </c>
      <c r="L31" s="454"/>
      <c r="M31" s="429"/>
      <c r="N31" s="429"/>
    </row>
    <row r="32" spans="1:14" ht="13.5" thickTop="1">
      <c r="A32" s="432"/>
      <c r="B32" s="432"/>
      <c r="D32" s="455"/>
      <c r="E32" s="437"/>
      <c r="F32" s="437"/>
      <c r="G32" s="428"/>
      <c r="H32" s="436"/>
      <c r="I32" s="428"/>
      <c r="J32" s="156"/>
      <c r="K32" s="453"/>
      <c r="L32" s="454"/>
      <c r="M32" s="429"/>
      <c r="N32" s="429"/>
    </row>
    <row r="33" spans="1:14">
      <c r="A33" s="423"/>
      <c r="E33" s="423"/>
      <c r="F33" s="423"/>
      <c r="J33" s="156"/>
      <c r="K33" s="453"/>
      <c r="L33" s="454"/>
      <c r="M33" s="429"/>
      <c r="N33" s="429"/>
    </row>
    <row r="34" spans="1:14" ht="18">
      <c r="A34" s="432"/>
      <c r="B34" s="1504" t="str">
        <f>"Prepayments Account 165 - Balance @ 12/31/"&amp;D36&amp;""</f>
        <v>Prepayments Account 165 - Balance @ 12/31/2025</v>
      </c>
      <c r="C34" s="1509"/>
      <c r="D34" s="1509"/>
      <c r="E34" s="1509"/>
      <c r="F34" s="1509"/>
      <c r="G34" s="1509"/>
      <c r="H34" s="1509"/>
      <c r="I34" s="1509"/>
      <c r="J34" s="1509"/>
      <c r="K34" s="453"/>
      <c r="L34" s="454"/>
      <c r="M34" s="429"/>
      <c r="N34" s="429"/>
    </row>
    <row r="35" spans="1:14">
      <c r="A35" s="432"/>
      <c r="B35" s="485"/>
      <c r="C35" s="486"/>
      <c r="D35" s="469"/>
      <c r="E35" s="470"/>
      <c r="F35" s="423"/>
      <c r="G35" s="470" t="s">
        <v>378</v>
      </c>
      <c r="I35" s="471" t="s">
        <v>407</v>
      </c>
      <c r="J35" s="471" t="s">
        <v>407</v>
      </c>
      <c r="K35" s="471" t="s">
        <v>469</v>
      </c>
      <c r="L35" s="173"/>
      <c r="M35" s="429"/>
      <c r="N35" s="429"/>
    </row>
    <row r="36" spans="1:14">
      <c r="A36" s="432"/>
      <c r="B36" s="485"/>
      <c r="C36" s="487"/>
      <c r="D36" s="472" t="str">
        <f>""&amp;TCOS!L4</f>
        <v>2025</v>
      </c>
      <c r="E36" s="471" t="s">
        <v>319</v>
      </c>
      <c r="F36" s="423"/>
      <c r="G36" s="471" t="s">
        <v>407</v>
      </c>
      <c r="I36" s="471" t="s">
        <v>309</v>
      </c>
      <c r="J36" s="471" t="s">
        <v>451</v>
      </c>
      <c r="K36" s="471" t="s">
        <v>470</v>
      </c>
      <c r="L36" s="173"/>
      <c r="M36" s="429"/>
      <c r="N36" s="429"/>
    </row>
    <row r="37" spans="1:14">
      <c r="A37" s="432">
        <f>+A31+1</f>
        <v>9</v>
      </c>
      <c r="B37" s="473" t="s">
        <v>381</v>
      </c>
      <c r="C37" s="473" t="s">
        <v>457</v>
      </c>
      <c r="D37" s="473" t="s">
        <v>379</v>
      </c>
      <c r="E37" s="473" t="s">
        <v>290</v>
      </c>
      <c r="F37" s="423"/>
      <c r="G37" s="473" t="s">
        <v>310</v>
      </c>
      <c r="I37" s="473" t="s">
        <v>310</v>
      </c>
      <c r="J37" s="473" t="s">
        <v>310</v>
      </c>
      <c r="K37" s="473" t="s">
        <v>311</v>
      </c>
      <c r="L37" s="473" t="s">
        <v>363</v>
      </c>
      <c r="M37" s="429"/>
      <c r="N37" s="429"/>
    </row>
    <row r="38" spans="1:14">
      <c r="A38" s="432"/>
      <c r="B38" s="485"/>
      <c r="C38" s="486"/>
      <c r="D38" s="486"/>
      <c r="E38" s="486"/>
      <c r="F38" s="423"/>
      <c r="G38" s="486"/>
      <c r="I38" s="486"/>
      <c r="J38" s="486"/>
      <c r="K38" s="474"/>
      <c r="L38" s="173"/>
      <c r="M38" s="429"/>
      <c r="N38" s="429"/>
    </row>
    <row r="39" spans="1:14" ht="14.25">
      <c r="A39" s="432">
        <f>+A37+1</f>
        <v>10</v>
      </c>
      <c r="B39" s="1397">
        <v>1650001</v>
      </c>
      <c r="C39" s="974" t="s">
        <v>803</v>
      </c>
      <c r="D39" s="1385">
        <v>442978.22851235577</v>
      </c>
      <c r="E39" s="488">
        <f t="shared" ref="E39:E52" si="0">+D39-K39</f>
        <v>0</v>
      </c>
      <c r="F39" s="423"/>
      <c r="G39" s="489"/>
      <c r="I39" s="489">
        <f>+D39</f>
        <v>442978.22851235577</v>
      </c>
      <c r="J39" s="489"/>
      <c r="K39" s="489">
        <f>+G39+I39+J39</f>
        <v>442978.22851235577</v>
      </c>
      <c r="L39" s="173" t="s">
        <v>823</v>
      </c>
      <c r="M39" s="429"/>
      <c r="N39" s="429"/>
    </row>
    <row r="40" spans="1:14" ht="14.25">
      <c r="A40" s="432">
        <f>+A39+1</f>
        <v>11</v>
      </c>
      <c r="B40" s="1398">
        <v>1650021</v>
      </c>
      <c r="C40" s="974" t="s">
        <v>804</v>
      </c>
      <c r="D40" s="1385">
        <v>345296.07505443937</v>
      </c>
      <c r="E40" s="488">
        <f t="shared" si="0"/>
        <v>0</v>
      </c>
      <c r="F40" s="423"/>
      <c r="G40" s="489"/>
      <c r="I40" s="489">
        <f>+D40</f>
        <v>345296.07505443937</v>
      </c>
      <c r="J40" s="489"/>
      <c r="K40" s="489">
        <f t="shared" ref="K40:K54" si="1">+G40+I40+J40</f>
        <v>345296.07505443937</v>
      </c>
      <c r="L40" s="173"/>
      <c r="M40" s="429"/>
      <c r="N40" s="429"/>
    </row>
    <row r="41" spans="1:14" ht="14.25">
      <c r="A41" s="432">
        <f t="shared" ref="A41:A54" si="2">+A40+1</f>
        <v>12</v>
      </c>
      <c r="B41" s="1397">
        <v>1650023</v>
      </c>
      <c r="C41" s="974" t="s">
        <v>805</v>
      </c>
      <c r="D41" s="1385">
        <v>25647.606433204972</v>
      </c>
      <c r="E41" s="488">
        <f t="shared" si="0"/>
        <v>0</v>
      </c>
      <c r="F41" s="423"/>
      <c r="G41" s="489"/>
      <c r="I41" s="489">
        <f>+D41</f>
        <v>25647.606433204972</v>
      </c>
      <c r="J41" s="489"/>
      <c r="K41" s="489">
        <f t="shared" si="1"/>
        <v>25647.606433204972</v>
      </c>
      <c r="L41" s="173"/>
      <c r="M41" s="429"/>
      <c r="N41" s="429"/>
    </row>
    <row r="42" spans="1:14" ht="14.25">
      <c r="A42" s="432">
        <f t="shared" si="2"/>
        <v>13</v>
      </c>
      <c r="B42" s="1312"/>
      <c r="C42" s="974"/>
      <c r="D42" s="1385"/>
      <c r="E42" s="488">
        <f t="shared" si="0"/>
        <v>0</v>
      </c>
      <c r="F42" s="423"/>
      <c r="G42" s="489"/>
      <c r="I42" s="489">
        <f t="shared" ref="I42:I54" si="3">+D42</f>
        <v>0</v>
      </c>
      <c r="J42" s="489"/>
      <c r="K42" s="489">
        <f t="shared" si="1"/>
        <v>0</v>
      </c>
      <c r="L42" s="173"/>
      <c r="M42" s="429"/>
      <c r="N42" s="429"/>
    </row>
    <row r="43" spans="1:14" ht="14.25">
      <c r="A43" s="432">
        <f t="shared" si="2"/>
        <v>14</v>
      </c>
      <c r="B43" s="1312"/>
      <c r="C43" s="974"/>
      <c r="D43" s="1385"/>
      <c r="E43" s="488">
        <f t="shared" si="0"/>
        <v>0</v>
      </c>
      <c r="F43" s="423"/>
      <c r="G43" s="489"/>
      <c r="I43" s="489">
        <f t="shared" si="3"/>
        <v>0</v>
      </c>
      <c r="J43" s="489"/>
      <c r="K43" s="489">
        <f t="shared" si="1"/>
        <v>0</v>
      </c>
      <c r="L43" s="393"/>
      <c r="M43" s="429"/>
      <c r="N43" s="429"/>
    </row>
    <row r="44" spans="1:14" ht="14.25">
      <c r="A44" s="432">
        <f t="shared" si="2"/>
        <v>15</v>
      </c>
      <c r="B44" s="1312"/>
      <c r="C44" s="974"/>
      <c r="D44" s="1385"/>
      <c r="E44" s="488">
        <f t="shared" si="0"/>
        <v>0</v>
      </c>
      <c r="F44" s="423"/>
      <c r="G44" s="489"/>
      <c r="I44" s="489">
        <f t="shared" si="3"/>
        <v>0</v>
      </c>
      <c r="J44" s="489"/>
      <c r="K44" s="489">
        <f t="shared" si="1"/>
        <v>0</v>
      </c>
      <c r="L44" s="393"/>
      <c r="M44" s="429"/>
      <c r="N44" s="429"/>
    </row>
    <row r="45" spans="1:14" ht="14.25">
      <c r="A45" s="432">
        <f t="shared" si="2"/>
        <v>16</v>
      </c>
      <c r="B45" s="1312"/>
      <c r="C45" s="974"/>
      <c r="D45" s="1385"/>
      <c r="E45" s="488">
        <f t="shared" si="0"/>
        <v>0</v>
      </c>
      <c r="F45" s="423"/>
      <c r="G45" s="490"/>
      <c r="I45" s="489">
        <f t="shared" si="3"/>
        <v>0</v>
      </c>
      <c r="J45" s="490"/>
      <c r="K45" s="490">
        <f t="shared" si="1"/>
        <v>0</v>
      </c>
      <c r="L45" s="393"/>
      <c r="M45" s="429"/>
      <c r="N45" s="429"/>
    </row>
    <row r="46" spans="1:14" ht="14.25">
      <c r="A46" s="432">
        <f t="shared" si="2"/>
        <v>17</v>
      </c>
      <c r="B46" s="1312"/>
      <c r="C46" s="974"/>
      <c r="D46" s="1385"/>
      <c r="E46" s="488">
        <f t="shared" si="0"/>
        <v>0</v>
      </c>
      <c r="F46" s="423"/>
      <c r="G46" s="489"/>
      <c r="I46" s="489">
        <f t="shared" si="3"/>
        <v>0</v>
      </c>
      <c r="J46" s="489"/>
      <c r="K46" s="490">
        <f t="shared" si="1"/>
        <v>0</v>
      </c>
      <c r="L46" s="1391"/>
      <c r="M46" s="429"/>
      <c r="N46" s="429"/>
    </row>
    <row r="47" spans="1:14" ht="14.25">
      <c r="A47" s="432">
        <f t="shared" si="2"/>
        <v>18</v>
      </c>
      <c r="B47" s="1312"/>
      <c r="C47" s="974"/>
      <c r="D47" s="1385"/>
      <c r="E47" s="488">
        <f t="shared" si="0"/>
        <v>0</v>
      </c>
      <c r="F47" s="423"/>
      <c r="G47" s="489"/>
      <c r="I47" s="489">
        <f t="shared" si="3"/>
        <v>0</v>
      </c>
      <c r="J47" s="489"/>
      <c r="K47" s="490">
        <f t="shared" si="1"/>
        <v>0</v>
      </c>
      <c r="L47" s="393"/>
      <c r="M47" s="429"/>
      <c r="N47" s="429"/>
    </row>
    <row r="48" spans="1:14" ht="14.25">
      <c r="A48" s="432">
        <f t="shared" si="2"/>
        <v>19</v>
      </c>
      <c r="B48" s="1312"/>
      <c r="C48" s="974"/>
      <c r="D48" s="1385"/>
      <c r="E48" s="488">
        <f t="shared" si="0"/>
        <v>0</v>
      </c>
      <c r="F48" s="423"/>
      <c r="G48" s="489"/>
      <c r="I48" s="489">
        <f t="shared" si="3"/>
        <v>0</v>
      </c>
      <c r="J48" s="489"/>
      <c r="K48" s="490">
        <f t="shared" si="1"/>
        <v>0</v>
      </c>
      <c r="L48" s="393"/>
      <c r="M48" s="429"/>
      <c r="N48" s="429"/>
    </row>
    <row r="49" spans="1:15" ht="14.25">
      <c r="A49" s="432">
        <f t="shared" si="2"/>
        <v>20</v>
      </c>
      <c r="B49" s="1313"/>
      <c r="C49" s="974"/>
      <c r="D49" s="1385"/>
      <c r="E49" s="488">
        <f t="shared" si="0"/>
        <v>0</v>
      </c>
      <c r="F49" s="423"/>
      <c r="G49" s="489"/>
      <c r="I49" s="489">
        <f t="shared" si="3"/>
        <v>0</v>
      </c>
      <c r="J49" s="1386"/>
      <c r="K49" s="490">
        <f>+G49+I49+J49</f>
        <v>0</v>
      </c>
      <c r="L49" s="173" t="s">
        <v>823</v>
      </c>
      <c r="M49" s="429"/>
      <c r="N49" s="429"/>
    </row>
    <row r="50" spans="1:15" ht="14.25">
      <c r="A50" s="432">
        <f t="shared" si="2"/>
        <v>21</v>
      </c>
      <c r="B50" s="1313"/>
      <c r="C50" s="974"/>
      <c r="D50" s="1385"/>
      <c r="E50" s="488">
        <f t="shared" si="0"/>
        <v>0</v>
      </c>
      <c r="F50" s="423"/>
      <c r="G50" s="489"/>
      <c r="I50" s="489">
        <f t="shared" si="3"/>
        <v>0</v>
      </c>
      <c r="J50" s="1386"/>
      <c r="K50" s="490">
        <f>+G50+I50+J50</f>
        <v>0</v>
      </c>
      <c r="L50" s="173" t="s">
        <v>805</v>
      </c>
      <c r="M50" s="429"/>
      <c r="N50" s="429"/>
    </row>
    <row r="51" spans="1:15" ht="14.25">
      <c r="A51" s="432">
        <f t="shared" si="2"/>
        <v>22</v>
      </c>
      <c r="B51" s="1313"/>
      <c r="C51" s="974"/>
      <c r="D51" s="1385"/>
      <c r="E51" s="488">
        <f t="shared" si="0"/>
        <v>0</v>
      </c>
      <c r="F51" s="423"/>
      <c r="G51" s="489"/>
      <c r="I51" s="489">
        <f t="shared" si="3"/>
        <v>0</v>
      </c>
      <c r="J51" s="1386"/>
      <c r="K51" s="490">
        <f>+G51+I51+J51</f>
        <v>0</v>
      </c>
      <c r="L51" s="393" t="s">
        <v>406</v>
      </c>
      <c r="M51" s="429"/>
      <c r="N51" s="429"/>
    </row>
    <row r="52" spans="1:15" ht="14.25">
      <c r="A52" s="432">
        <f t="shared" si="2"/>
        <v>23</v>
      </c>
      <c r="B52" s="1313"/>
      <c r="C52" s="974"/>
      <c r="D52" s="1385"/>
      <c r="E52" s="488">
        <f t="shared" si="0"/>
        <v>0</v>
      </c>
      <c r="F52" s="423"/>
      <c r="G52" s="489"/>
      <c r="I52" s="489">
        <f t="shared" si="3"/>
        <v>0</v>
      </c>
      <c r="J52" s="1386"/>
      <c r="K52" s="490">
        <f>+G52+I52+J52</f>
        <v>0</v>
      </c>
      <c r="L52" s="393" t="s">
        <v>406</v>
      </c>
      <c r="M52" s="429"/>
      <c r="N52" s="429"/>
    </row>
    <row r="53" spans="1:15" ht="14.25">
      <c r="A53" s="432">
        <f t="shared" si="2"/>
        <v>24</v>
      </c>
      <c r="B53" s="1313"/>
      <c r="C53" s="974"/>
      <c r="D53" s="1385"/>
      <c r="E53" s="488">
        <f>+D53-K53</f>
        <v>0</v>
      </c>
      <c r="F53" s="423"/>
      <c r="G53" s="489"/>
      <c r="I53" s="489">
        <f t="shared" si="3"/>
        <v>0</v>
      </c>
      <c r="J53" s="1386"/>
      <c r="K53" s="490">
        <f t="shared" si="1"/>
        <v>0</v>
      </c>
      <c r="L53" s="393" t="s">
        <v>406</v>
      </c>
      <c r="M53" s="429"/>
      <c r="N53" s="429"/>
    </row>
    <row r="54" spans="1:15" ht="15" thickBot="1">
      <c r="A54" s="432">
        <f t="shared" si="2"/>
        <v>25</v>
      </c>
      <c r="B54" s="1313"/>
      <c r="C54" s="974"/>
      <c r="D54" s="1385"/>
      <c r="E54" s="488">
        <f>+D54-K54</f>
        <v>0</v>
      </c>
      <c r="F54" s="423"/>
      <c r="G54" s="489"/>
      <c r="I54" s="489">
        <f t="shared" si="3"/>
        <v>0</v>
      </c>
      <c r="J54" s="489"/>
      <c r="K54" s="490">
        <f t="shared" si="1"/>
        <v>0</v>
      </c>
      <c r="L54" s="393"/>
      <c r="M54" s="429"/>
      <c r="N54" s="429"/>
    </row>
    <row r="55" spans="1:15">
      <c r="A55" s="432"/>
      <c r="B55" s="485"/>
      <c r="C55" s="491" t="s">
        <v>291</v>
      </c>
      <c r="D55" s="492">
        <f>SUM(D39:D54)</f>
        <v>813921.91</v>
      </c>
      <c r="E55" s="493">
        <f>SUM(E39:E54)</f>
        <v>0</v>
      </c>
      <c r="F55" s="423"/>
      <c r="G55" s="492">
        <f>SUM(G39:G54)</f>
        <v>0</v>
      </c>
      <c r="I55" s="492">
        <f>SUM(I39:I54)</f>
        <v>813921.91</v>
      </c>
      <c r="J55" s="492">
        <f>SUM(J39:J54)</f>
        <v>0</v>
      </c>
      <c r="K55" s="492">
        <f>SUM(K39:K54)</f>
        <v>813921.91</v>
      </c>
      <c r="L55" s="173"/>
      <c r="M55" s="429"/>
      <c r="N55" s="429"/>
    </row>
    <row r="56" spans="1:15">
      <c r="A56" s="432"/>
      <c r="D56" s="494" t="s">
        <v>406</v>
      </c>
      <c r="K56" s="495"/>
      <c r="L56" s="173"/>
      <c r="M56" s="429"/>
      <c r="N56" s="429"/>
    </row>
    <row r="57" spans="1:15">
      <c r="A57" s="432"/>
      <c r="B57" s="173"/>
      <c r="C57" s="173"/>
      <c r="D57" s="173"/>
      <c r="E57" s="173"/>
      <c r="F57" s="173"/>
      <c r="G57" s="173"/>
      <c r="H57" s="173"/>
      <c r="I57" s="173"/>
      <c r="J57" s="173"/>
      <c r="K57" s="173"/>
      <c r="L57" s="173"/>
      <c r="M57" s="429"/>
      <c r="N57" s="429"/>
      <c r="O57" s="173"/>
    </row>
    <row r="58" spans="1:15" ht="18">
      <c r="A58" s="432"/>
      <c r="B58" s="1504" t="str">
        <f>"Prepayments Account 165 - Balance @ 12/31/ "&amp;D60&amp;""</f>
        <v>Prepayments Account 165 - Balance @ 12/31/ 2024</v>
      </c>
      <c r="C58" s="1504"/>
      <c r="D58" s="1504"/>
      <c r="E58" s="1504"/>
      <c r="F58" s="1504"/>
      <c r="G58" s="1504"/>
      <c r="H58" s="1504"/>
      <c r="I58" s="1504"/>
      <c r="J58" s="1504"/>
      <c r="K58" s="453"/>
      <c r="L58" s="454"/>
      <c r="M58" s="429"/>
      <c r="N58" s="429"/>
      <c r="O58" s="173"/>
    </row>
    <row r="59" spans="1:15">
      <c r="A59" s="432"/>
      <c r="B59" s="496"/>
      <c r="C59" s="497"/>
      <c r="D59" s="498"/>
      <c r="E59" s="470"/>
      <c r="F59" s="423"/>
      <c r="G59" s="470" t="s">
        <v>378</v>
      </c>
      <c r="I59" s="471" t="s">
        <v>407</v>
      </c>
      <c r="J59" s="471" t="s">
        <v>407</v>
      </c>
      <c r="K59" s="471" t="s">
        <v>469</v>
      </c>
      <c r="L59" s="173"/>
      <c r="M59" s="429"/>
      <c r="N59" s="429"/>
      <c r="O59" s="173"/>
    </row>
    <row r="60" spans="1:15">
      <c r="A60" s="432"/>
      <c r="B60" s="496"/>
      <c r="C60" s="499"/>
      <c r="D60" s="471" t="str">
        <f>""&amp;TCOS!L4-1&amp;""</f>
        <v>2024</v>
      </c>
      <c r="E60" s="471" t="s">
        <v>319</v>
      </c>
      <c r="F60" s="423"/>
      <c r="G60" s="471" t="s">
        <v>407</v>
      </c>
      <c r="I60" s="471" t="s">
        <v>309</v>
      </c>
      <c r="J60" s="471" t="s">
        <v>451</v>
      </c>
      <c r="K60" s="471" t="s">
        <v>470</v>
      </c>
      <c r="L60" s="173"/>
      <c r="M60" s="429"/>
      <c r="N60" s="429"/>
      <c r="O60" s="173"/>
    </row>
    <row r="61" spans="1:15">
      <c r="A61" s="432">
        <f>A54+1</f>
        <v>26</v>
      </c>
      <c r="B61" s="473" t="s">
        <v>381</v>
      </c>
      <c r="C61" s="473" t="s">
        <v>457</v>
      </c>
      <c r="D61" s="473" t="s">
        <v>379</v>
      </c>
      <c r="E61" s="473" t="s">
        <v>290</v>
      </c>
      <c r="F61" s="423"/>
      <c r="G61" s="473" t="s">
        <v>310</v>
      </c>
      <c r="I61" s="473" t="s">
        <v>310</v>
      </c>
      <c r="J61" s="473" t="s">
        <v>310</v>
      </c>
      <c r="K61" s="473" t="s">
        <v>311</v>
      </c>
      <c r="L61" s="473" t="s">
        <v>363</v>
      </c>
      <c r="M61" s="429"/>
      <c r="N61" s="429"/>
      <c r="O61" s="173"/>
    </row>
    <row r="62" spans="1:15">
      <c r="A62" s="432"/>
      <c r="B62" s="485"/>
      <c r="C62" s="486"/>
      <c r="D62" s="486"/>
      <c r="E62" s="486"/>
      <c r="F62" s="423"/>
      <c r="G62" s="486"/>
      <c r="I62" s="486"/>
      <c r="J62" s="486"/>
      <c r="K62" s="486"/>
      <c r="L62" s="173"/>
      <c r="M62" s="429"/>
      <c r="N62" s="429"/>
      <c r="O62" s="173"/>
    </row>
    <row r="63" spans="1:15" ht="14.25">
      <c r="A63" s="432">
        <f>+A61+1</f>
        <v>27</v>
      </c>
      <c r="B63" s="1312">
        <v>1650001</v>
      </c>
      <c r="C63" s="974" t="s">
        <v>803</v>
      </c>
      <c r="D63" s="1385">
        <v>442978.22851235577</v>
      </c>
      <c r="E63" s="488">
        <f t="shared" ref="E63:E78" si="4">+D63-K63</f>
        <v>0</v>
      </c>
      <c r="F63" s="423"/>
      <c r="G63" s="489"/>
      <c r="I63" s="489">
        <f>+D63</f>
        <v>442978.22851235577</v>
      </c>
      <c r="J63" s="489"/>
      <c r="K63" s="489">
        <f>+G63+I63+J63</f>
        <v>442978.22851235577</v>
      </c>
      <c r="L63" s="173" t="s">
        <v>823</v>
      </c>
      <c r="M63" s="429"/>
      <c r="N63" s="429"/>
      <c r="O63" s="173"/>
    </row>
    <row r="64" spans="1:15" ht="14.25">
      <c r="A64" s="432">
        <f>+A63+1</f>
        <v>28</v>
      </c>
      <c r="B64" s="1313">
        <v>1650021</v>
      </c>
      <c r="C64" s="974" t="s">
        <v>804</v>
      </c>
      <c r="D64" s="1385">
        <v>345296.07505443937</v>
      </c>
      <c r="E64" s="488">
        <f t="shared" si="4"/>
        <v>0</v>
      </c>
      <c r="F64" s="423"/>
      <c r="G64" s="489"/>
      <c r="I64" s="489">
        <f>+D64</f>
        <v>345296.07505443937</v>
      </c>
      <c r="J64" s="489"/>
      <c r="K64" s="489">
        <f t="shared" ref="K64:K78" si="5">+G64+I64+J64</f>
        <v>345296.07505443937</v>
      </c>
      <c r="L64" s="173"/>
      <c r="M64" s="429"/>
      <c r="N64" s="429"/>
      <c r="O64" s="173"/>
    </row>
    <row r="65" spans="1:15" ht="14.25">
      <c r="A65" s="432">
        <f t="shared" ref="A65:A78" si="6">+A64+1</f>
        <v>29</v>
      </c>
      <c r="B65" s="1312">
        <v>1650023</v>
      </c>
      <c r="C65" s="974" t="s">
        <v>805</v>
      </c>
      <c r="D65" s="1385">
        <v>25647.606433204972</v>
      </c>
      <c r="E65" s="488">
        <f t="shared" si="4"/>
        <v>0</v>
      </c>
      <c r="F65" s="423"/>
      <c r="G65" s="489"/>
      <c r="I65" s="489">
        <f>+D65</f>
        <v>25647.606433204972</v>
      </c>
      <c r="J65" s="489"/>
      <c r="K65" s="489">
        <f t="shared" si="5"/>
        <v>25647.606433204972</v>
      </c>
      <c r="L65" s="173"/>
      <c r="M65" s="429"/>
      <c r="N65" s="429"/>
      <c r="O65" s="173"/>
    </row>
    <row r="66" spans="1:15" ht="14.25">
      <c r="A66" s="432">
        <f t="shared" si="6"/>
        <v>30</v>
      </c>
      <c r="B66" s="1312"/>
      <c r="C66" s="974"/>
      <c r="D66" s="1385"/>
      <c r="E66" s="488">
        <f t="shared" si="4"/>
        <v>0</v>
      </c>
      <c r="F66" s="423"/>
      <c r="G66" s="489"/>
      <c r="I66" s="489">
        <f t="shared" ref="I66:I78" si="7">+D66</f>
        <v>0</v>
      </c>
      <c r="J66" s="489"/>
      <c r="K66" s="489">
        <f t="shared" si="5"/>
        <v>0</v>
      </c>
      <c r="L66" s="173"/>
      <c r="M66" s="429"/>
      <c r="N66" s="429"/>
      <c r="O66" s="173"/>
    </row>
    <row r="67" spans="1:15" ht="14.25">
      <c r="A67" s="432">
        <f t="shared" si="6"/>
        <v>31</v>
      </c>
      <c r="B67" s="1312"/>
      <c r="C67" s="974"/>
      <c r="D67" s="1385"/>
      <c r="E67" s="488">
        <f t="shared" si="4"/>
        <v>0</v>
      </c>
      <c r="F67" s="423"/>
      <c r="G67" s="489"/>
      <c r="I67" s="489">
        <f t="shared" si="7"/>
        <v>0</v>
      </c>
      <c r="J67" s="489"/>
      <c r="K67" s="489">
        <f t="shared" si="5"/>
        <v>0</v>
      </c>
      <c r="L67" s="393"/>
      <c r="M67" s="429"/>
      <c r="N67" s="429"/>
      <c r="O67" s="173"/>
    </row>
    <row r="68" spans="1:15" ht="14.25">
      <c r="A68" s="432">
        <f t="shared" si="6"/>
        <v>32</v>
      </c>
      <c r="B68" s="1312"/>
      <c r="C68" s="974"/>
      <c r="D68" s="1385"/>
      <c r="E68" s="488">
        <f t="shared" si="4"/>
        <v>0</v>
      </c>
      <c r="F68" s="423"/>
      <c r="G68" s="489"/>
      <c r="I68" s="489">
        <f t="shared" si="7"/>
        <v>0</v>
      </c>
      <c r="J68" s="489"/>
      <c r="K68" s="489">
        <f t="shared" si="5"/>
        <v>0</v>
      </c>
      <c r="L68" s="393"/>
      <c r="M68" s="429"/>
      <c r="N68" s="429"/>
      <c r="O68" s="173"/>
    </row>
    <row r="69" spans="1:15" ht="14.25">
      <c r="A69" s="432">
        <f t="shared" si="6"/>
        <v>33</v>
      </c>
      <c r="B69" s="1312"/>
      <c r="C69" s="974"/>
      <c r="D69" s="1385"/>
      <c r="E69" s="488">
        <f t="shared" si="4"/>
        <v>0</v>
      </c>
      <c r="F69" s="423"/>
      <c r="G69" s="490"/>
      <c r="I69" s="489">
        <f t="shared" si="7"/>
        <v>0</v>
      </c>
      <c r="J69" s="490"/>
      <c r="K69" s="490">
        <f t="shared" si="5"/>
        <v>0</v>
      </c>
      <c r="L69" s="393"/>
      <c r="M69" s="429"/>
      <c r="N69" s="429"/>
      <c r="O69" s="173"/>
    </row>
    <row r="70" spans="1:15" ht="14.25">
      <c r="A70" s="432">
        <f t="shared" si="6"/>
        <v>34</v>
      </c>
      <c r="B70" s="1312"/>
      <c r="C70" s="974"/>
      <c r="D70" s="1385"/>
      <c r="E70" s="488">
        <f t="shared" si="4"/>
        <v>0</v>
      </c>
      <c r="F70" s="423"/>
      <c r="G70" s="489"/>
      <c r="I70" s="489">
        <f t="shared" si="7"/>
        <v>0</v>
      </c>
      <c r="J70" s="489"/>
      <c r="K70" s="490">
        <f t="shared" si="5"/>
        <v>0</v>
      </c>
      <c r="L70" s="1391"/>
      <c r="M70" s="429"/>
      <c r="N70" s="429"/>
      <c r="O70" s="173"/>
    </row>
    <row r="71" spans="1:15" ht="14.25">
      <c r="A71" s="432">
        <f t="shared" si="6"/>
        <v>35</v>
      </c>
      <c r="B71" s="1312"/>
      <c r="C71" s="974"/>
      <c r="D71" s="1385"/>
      <c r="E71" s="488">
        <f t="shared" si="4"/>
        <v>0</v>
      </c>
      <c r="F71" s="423"/>
      <c r="G71" s="489"/>
      <c r="I71" s="489">
        <f t="shared" si="7"/>
        <v>0</v>
      </c>
      <c r="J71" s="489"/>
      <c r="K71" s="490">
        <f t="shared" si="5"/>
        <v>0</v>
      </c>
      <c r="L71" s="393"/>
      <c r="M71" s="429"/>
      <c r="N71" s="429"/>
      <c r="O71" s="173"/>
    </row>
    <row r="72" spans="1:15" ht="14.25">
      <c r="A72" s="432">
        <f>+A69+1</f>
        <v>34</v>
      </c>
      <c r="B72" s="1312"/>
      <c r="C72" s="974"/>
      <c r="D72" s="1385"/>
      <c r="E72" s="488">
        <f t="shared" si="4"/>
        <v>0</v>
      </c>
      <c r="F72" s="423"/>
      <c r="G72" s="489"/>
      <c r="I72" s="489">
        <f t="shared" si="7"/>
        <v>0</v>
      </c>
      <c r="J72" s="489"/>
      <c r="K72" s="490">
        <f t="shared" si="5"/>
        <v>0</v>
      </c>
      <c r="L72" s="393"/>
      <c r="M72" s="429"/>
      <c r="N72" s="429"/>
      <c r="O72" s="173"/>
    </row>
    <row r="73" spans="1:15" ht="14.25">
      <c r="A73" s="432">
        <f t="shared" si="6"/>
        <v>35</v>
      </c>
      <c r="B73" s="1313"/>
      <c r="C73" s="974"/>
      <c r="D73" s="1385"/>
      <c r="E73" s="488">
        <f t="shared" si="4"/>
        <v>0</v>
      </c>
      <c r="F73" s="423"/>
      <c r="G73" s="489"/>
      <c r="I73" s="489">
        <f t="shared" si="7"/>
        <v>0</v>
      </c>
      <c r="J73" s="1386"/>
      <c r="K73" s="490">
        <f>+G73+I73+J73</f>
        <v>0</v>
      </c>
      <c r="L73" s="173" t="s">
        <v>823</v>
      </c>
      <c r="M73" s="429"/>
      <c r="N73" s="429"/>
      <c r="O73" s="173"/>
    </row>
    <row r="74" spans="1:15" ht="14.25">
      <c r="A74" s="432">
        <f t="shared" si="6"/>
        <v>36</v>
      </c>
      <c r="B74" s="1313"/>
      <c r="C74" s="974"/>
      <c r="D74" s="1385"/>
      <c r="E74" s="488">
        <f t="shared" si="4"/>
        <v>0</v>
      </c>
      <c r="F74" s="423"/>
      <c r="G74" s="489"/>
      <c r="I74" s="489">
        <f t="shared" si="7"/>
        <v>0</v>
      </c>
      <c r="J74" s="1386"/>
      <c r="K74" s="490">
        <f>+G74+I74+J74</f>
        <v>0</v>
      </c>
      <c r="L74" s="173" t="s">
        <v>805</v>
      </c>
      <c r="M74" s="429"/>
      <c r="N74" s="429"/>
      <c r="O74" s="173"/>
    </row>
    <row r="75" spans="1:15" ht="14.25">
      <c r="A75" s="432">
        <f t="shared" si="6"/>
        <v>37</v>
      </c>
      <c r="B75" s="1313"/>
      <c r="C75" s="974"/>
      <c r="D75" s="1385"/>
      <c r="E75" s="488">
        <f t="shared" si="4"/>
        <v>0</v>
      </c>
      <c r="F75" s="423"/>
      <c r="G75" s="489"/>
      <c r="I75" s="489">
        <f t="shared" si="7"/>
        <v>0</v>
      </c>
      <c r="J75" s="1386"/>
      <c r="K75" s="490">
        <f>+G75+I75+J75</f>
        <v>0</v>
      </c>
      <c r="L75" s="393" t="s">
        <v>406</v>
      </c>
      <c r="M75" s="429"/>
      <c r="N75" s="429"/>
      <c r="O75" s="173"/>
    </row>
    <row r="76" spans="1:15" ht="14.25">
      <c r="A76" s="432">
        <f t="shared" si="6"/>
        <v>38</v>
      </c>
      <c r="B76" s="1313"/>
      <c r="C76" s="974"/>
      <c r="D76" s="1385"/>
      <c r="E76" s="488">
        <f t="shared" si="4"/>
        <v>0</v>
      </c>
      <c r="F76" s="423"/>
      <c r="G76" s="489"/>
      <c r="I76" s="489">
        <f t="shared" si="7"/>
        <v>0</v>
      </c>
      <c r="J76" s="1386"/>
      <c r="K76" s="490">
        <f>+G76+I76+J76</f>
        <v>0</v>
      </c>
      <c r="L76" s="393" t="s">
        <v>406</v>
      </c>
      <c r="M76" s="429"/>
      <c r="N76" s="429"/>
      <c r="O76" s="173"/>
    </row>
    <row r="77" spans="1:15" ht="14.25">
      <c r="A77" s="432">
        <f t="shared" si="6"/>
        <v>39</v>
      </c>
      <c r="B77" s="1313"/>
      <c r="C77" s="974"/>
      <c r="D77" s="1385"/>
      <c r="E77" s="488">
        <f t="shared" si="4"/>
        <v>0</v>
      </c>
      <c r="F77" s="423"/>
      <c r="G77" s="489"/>
      <c r="I77" s="489">
        <f t="shared" si="7"/>
        <v>0</v>
      </c>
      <c r="J77" s="1386"/>
      <c r="K77" s="490">
        <f t="shared" si="5"/>
        <v>0</v>
      </c>
      <c r="L77" s="393" t="s">
        <v>406</v>
      </c>
      <c r="M77" s="429"/>
      <c r="N77" s="429"/>
      <c r="O77" s="173"/>
    </row>
    <row r="78" spans="1:15" ht="15" thickBot="1">
      <c r="A78" s="432">
        <f t="shared" si="6"/>
        <v>40</v>
      </c>
      <c r="B78" s="1313"/>
      <c r="C78" s="974"/>
      <c r="D78" s="1385"/>
      <c r="E78" s="488">
        <f t="shared" si="4"/>
        <v>0</v>
      </c>
      <c r="F78" s="423"/>
      <c r="G78" s="489"/>
      <c r="I78" s="489">
        <f t="shared" si="7"/>
        <v>0</v>
      </c>
      <c r="J78" s="489"/>
      <c r="K78" s="490">
        <f t="shared" si="5"/>
        <v>0</v>
      </c>
      <c r="L78" s="393"/>
      <c r="M78" s="429"/>
      <c r="N78" s="429"/>
      <c r="O78" s="173"/>
    </row>
    <row r="79" spans="1:15">
      <c r="A79" s="432"/>
      <c r="B79" s="485"/>
      <c r="C79" s="1249" t="s">
        <v>623</v>
      </c>
      <c r="D79" s="492">
        <f>SUM(D63:D78)</f>
        <v>813921.91</v>
      </c>
      <c r="E79" s="493">
        <f>SUM(E63:E78)</f>
        <v>0</v>
      </c>
      <c r="F79" s="423"/>
      <c r="G79" s="492">
        <f>SUM(G63:G78)</f>
        <v>0</v>
      </c>
      <c r="I79" s="492">
        <f>SUM(I63:I78)</f>
        <v>813921.91</v>
      </c>
      <c r="J79" s="492">
        <f>SUM(J63:J78)</f>
        <v>0</v>
      </c>
      <c r="K79" s="492">
        <f>SUM(K63:K78)</f>
        <v>813921.91</v>
      </c>
      <c r="L79" s="173"/>
      <c r="M79" s="429"/>
      <c r="N79" s="429"/>
      <c r="O79" s="173"/>
    </row>
    <row r="80" spans="1:15">
      <c r="A80" s="432"/>
      <c r="B80" s="432"/>
      <c r="C80" s="173"/>
      <c r="D80" s="173"/>
      <c r="E80" s="173"/>
      <c r="F80" s="173"/>
      <c r="G80" s="173"/>
      <c r="H80" s="173"/>
      <c r="I80" s="173"/>
      <c r="J80" s="173"/>
      <c r="K80" s="173"/>
      <c r="L80" s="173"/>
      <c r="M80" s="429"/>
      <c r="N80" s="429"/>
      <c r="O80" s="173"/>
    </row>
    <row r="81" spans="1:15" ht="20.25" customHeight="1">
      <c r="A81" s="1129" t="s">
        <v>692</v>
      </c>
      <c r="B81" s="1500" t="s">
        <v>777</v>
      </c>
      <c r="C81" s="1500"/>
      <c r="D81" s="1500"/>
      <c r="E81" s="1500"/>
      <c r="F81" s="1500"/>
      <c r="G81" s="1500"/>
      <c r="H81" s="1500"/>
      <c r="I81" s="1500"/>
      <c r="J81" s="1500"/>
      <c r="K81" s="1500"/>
      <c r="L81" s="1500"/>
      <c r="M81" s="429"/>
      <c r="N81" s="429"/>
      <c r="O81" s="173"/>
    </row>
    <row r="82" spans="1:15" ht="20.25" customHeight="1">
      <c r="A82" s="1250"/>
      <c r="B82" s="1500"/>
      <c r="C82" s="1500"/>
      <c r="D82" s="1500"/>
      <c r="E82" s="1500"/>
      <c r="F82" s="1500"/>
      <c r="G82" s="1500"/>
      <c r="H82" s="1500"/>
      <c r="I82" s="1500"/>
      <c r="J82" s="1500"/>
      <c r="K82" s="1500"/>
      <c r="L82" s="1500"/>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4"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view="pageBreakPreview" zoomScale="60" zoomScaleNormal="100" workbookViewId="0">
      <selection sqref="A1:A2"/>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row>
    <row r="2" spans="1:15" ht="15.75">
      <c r="A2" s="1006"/>
    </row>
    <row r="3" spans="1:15"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422"/>
      <c r="G3" s="422"/>
      <c r="H3" s="422"/>
      <c r="I3" s="422"/>
      <c r="J3" s="422"/>
      <c r="K3" s="422"/>
      <c r="L3" s="422"/>
      <c r="M3" s="422"/>
      <c r="N3" s="422"/>
      <c r="O3" s="422"/>
    </row>
    <row r="4" spans="1:15" ht="15">
      <c r="A4" s="1502" t="str">
        <f>"Cost of Service Formula Rate Using Actual/Projected FF1 Balances"</f>
        <v>Cost of Service Formula Rate Using Actual/Projected FF1 Balances</v>
      </c>
      <c r="B4" s="1502"/>
      <c r="C4" s="1502"/>
      <c r="D4" s="1502"/>
      <c r="E4" s="1502"/>
      <c r="F4" s="424"/>
      <c r="G4" s="424"/>
      <c r="H4" s="424"/>
      <c r="I4" s="424"/>
      <c r="J4" s="424"/>
      <c r="K4" s="424"/>
      <c r="L4" s="424"/>
      <c r="M4" s="442"/>
      <c r="N4" s="442"/>
      <c r="O4" s="442"/>
    </row>
    <row r="5" spans="1:15" ht="15">
      <c r="A5" s="1502" t="s">
        <v>543</v>
      </c>
      <c r="B5" s="1502"/>
      <c r="C5" s="1502"/>
      <c r="D5" s="1502"/>
      <c r="E5" s="1502"/>
      <c r="F5" s="424"/>
      <c r="G5" s="424"/>
      <c r="H5" s="424"/>
      <c r="I5" s="424"/>
      <c r="J5" s="424"/>
      <c r="K5" s="424"/>
      <c r="L5" s="424"/>
      <c r="M5" s="424"/>
      <c r="N5" s="424"/>
      <c r="O5" s="424"/>
    </row>
    <row r="6" spans="1:15" ht="15">
      <c r="A6" s="1503" t="str">
        <f>TCOS!F9</f>
        <v>West Virginia Transmission Company</v>
      </c>
      <c r="B6" s="1503"/>
      <c r="C6" s="1503"/>
      <c r="D6" s="1503"/>
      <c r="E6" s="1503"/>
      <c r="F6" s="169"/>
      <c r="G6" s="169"/>
      <c r="H6" s="169"/>
      <c r="I6" s="169"/>
      <c r="J6" s="169"/>
      <c r="K6" s="169"/>
      <c r="L6" s="169"/>
      <c r="M6" s="169"/>
      <c r="N6" s="169"/>
      <c r="O6" s="169"/>
    </row>
    <row r="8" spans="1:15">
      <c r="A8" s="501" t="s">
        <v>459</v>
      </c>
      <c r="B8" s="502" t="s">
        <v>452</v>
      </c>
      <c r="C8" s="502" t="s">
        <v>453</v>
      </c>
    </row>
    <row r="9" spans="1:15">
      <c r="A9" s="501" t="s">
        <v>397</v>
      </c>
      <c r="B9" s="501" t="s">
        <v>457</v>
      </c>
      <c r="C9" s="501">
        <f>+TCOS!L4</f>
        <v>2025</v>
      </c>
    </row>
    <row r="10" spans="1:15">
      <c r="A10" s="503"/>
      <c r="B10" s="504"/>
      <c r="C10" s="502"/>
    </row>
    <row r="11" spans="1:15">
      <c r="A11" s="273">
        <v>1</v>
      </c>
      <c r="B11" s="1251" t="str">
        <f>"Net Funds from IPP Customers 12/31/"&amp;TCOS!L4-1&amp;" ("&amp;TCOS!L4&amp;" FORM 1, P269)"</f>
        <v>Net Funds from IPP Customers 12/31/2024 (2025 FORM 1, P269)</v>
      </c>
      <c r="C11" s="517">
        <v>0</v>
      </c>
      <c r="D11" s="393"/>
    </row>
    <row r="12" spans="1:15">
      <c r="B12" s="348"/>
      <c r="D12" s="393"/>
    </row>
    <row r="13" spans="1:15">
      <c r="A13" s="505">
        <v>2</v>
      </c>
      <c r="B13" s="1251" t="s">
        <v>251</v>
      </c>
      <c r="C13" s="517">
        <v>0</v>
      </c>
      <c r="D13" s="393"/>
    </row>
    <row r="14" spans="1:15">
      <c r="A14" s="505"/>
      <c r="B14" s="1251"/>
      <c r="D14" s="393"/>
    </row>
    <row r="15" spans="1:15">
      <c r="A15" s="505">
        <f>+A13+1</f>
        <v>3</v>
      </c>
      <c r="B15" s="1251" t="s">
        <v>329</v>
      </c>
      <c r="C15" s="517">
        <v>0</v>
      </c>
      <c r="D15" s="393"/>
    </row>
    <row r="16" spans="1:15">
      <c r="A16" s="505"/>
      <c r="B16" s="1251"/>
      <c r="D16" s="393"/>
    </row>
    <row r="17" spans="1:4">
      <c r="A17" s="505">
        <f>+A15+1</f>
        <v>4</v>
      </c>
      <c r="B17" s="1252" t="s">
        <v>0</v>
      </c>
      <c r="D17" s="393"/>
    </row>
    <row r="18" spans="1:4">
      <c r="A18" s="506">
        <f>+A17+1</f>
        <v>5</v>
      </c>
      <c r="B18" s="1251" t="s">
        <v>330</v>
      </c>
      <c r="C18" s="517">
        <v>0</v>
      </c>
      <c r="D18" s="393"/>
    </row>
    <row r="19" spans="1:4">
      <c r="A19" s="506">
        <f>+A18+1</f>
        <v>6</v>
      </c>
      <c r="B19" s="1253" t="s">
        <v>406</v>
      </c>
      <c r="C19" s="517">
        <v>0</v>
      </c>
      <c r="D19" s="393"/>
    </row>
    <row r="20" spans="1:4">
      <c r="A20" s="506"/>
      <c r="B20" s="348"/>
      <c r="C20" s="509"/>
      <c r="D20" s="393"/>
    </row>
    <row r="21" spans="1:4">
      <c r="A21" s="506">
        <f>+A19+1</f>
        <v>7</v>
      </c>
      <c r="B21" s="1251" t="str">
        <f>"Net Funds from IPP Customers 12/31/"&amp;TCOS!L4&amp;" ("&amp;TCOS!L4&amp;" FORM 1, P269)"</f>
        <v>Net Funds from IPP Customers 12/31/2025 (2025 FORM 1, P269)</v>
      </c>
      <c r="C21" s="510">
        <f>+C11+C13+C15+C18+C19</f>
        <v>0</v>
      </c>
      <c r="D21" s="511"/>
    </row>
    <row r="22" spans="1:4">
      <c r="A22" s="506"/>
      <c r="B22" s="508"/>
      <c r="D22" s="393"/>
    </row>
    <row r="23" spans="1:4">
      <c r="A23" s="506">
        <f>+A21+1</f>
        <v>8</v>
      </c>
      <c r="B23" s="507" t="str">
        <f>"Average Balance for Year as Indicated in Column ((ln "&amp;A11&amp;" + ln "&amp;A21&amp;")/2)"</f>
        <v>Average Balance for Year as Indicated in Column ((ln 1 + ln 7)/2)</v>
      </c>
      <c r="C23" s="512">
        <f>AVERAGE(C21,C11)</f>
        <v>0</v>
      </c>
      <c r="D23" s="393"/>
    </row>
    <row r="24" spans="1:4">
      <c r="A24" s="506"/>
      <c r="B24" s="508"/>
      <c r="D24" s="393"/>
    </row>
    <row r="25" spans="1:4">
      <c r="A25" s="506"/>
      <c r="B25" s="508"/>
      <c r="C25" s="510"/>
      <c r="D25" s="393"/>
    </row>
    <row r="26" spans="1:4" ht="15">
      <c r="A26" s="513" t="s">
        <v>287</v>
      </c>
      <c r="B26" s="1510" t="str">
        <f>"On this worksheet Company Records refers to  "&amp;A6&amp;"'s general ledger."</f>
        <v>On this worksheet Company Records refers to  West Virginia Transmission Company's general ledger.</v>
      </c>
      <c r="C26" s="411"/>
      <c r="D26" s="393"/>
    </row>
    <row r="27" spans="1:4">
      <c r="A27" s="514"/>
      <c r="B27" s="1511"/>
      <c r="D27" s="393"/>
    </row>
    <row r="28" spans="1:4">
      <c r="D28" s="393"/>
    </row>
    <row r="29" spans="1:4">
      <c r="D29" s="393"/>
    </row>
    <row r="30" spans="1:4">
      <c r="D30" s="393"/>
    </row>
    <row r="31" spans="1:4">
      <c r="D31" s="393"/>
    </row>
    <row r="32" spans="1:4">
      <c r="D32" s="515"/>
    </row>
    <row r="33" spans="1:4">
      <c r="D33" s="393"/>
    </row>
    <row r="34" spans="1:4">
      <c r="D34" s="393"/>
    </row>
    <row r="35" spans="1:4">
      <c r="D35" s="393"/>
    </row>
    <row r="36" spans="1:4">
      <c r="A36" s="503"/>
      <c r="B36" s="393"/>
      <c r="C36" s="393"/>
      <c r="D36" s="393"/>
    </row>
    <row r="37" spans="1:4">
      <c r="A37" s="503"/>
      <c r="B37" s="393"/>
      <c r="C37" s="393"/>
    </row>
    <row r="38" spans="1:4">
      <c r="C38" s="516"/>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S8yNy8yMDIzIDEyOjA2OjA3IFBNPC9EYXRlVGltZT48TGFiZWxTdHJpbmc+QUVQIEludGVybmFs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0A9AC93D-E7FB-4EC3-83F3-9F2A9A119BC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72A6AA8-7A6B-416F-9D0B-78103BDE228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2024-10-30T16:14:42Z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56c93be0-b787-48ea-a0d5-0c3a1811531b</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ClsUserRVM">
    <vt:lpwstr>[]</vt:lpwstr>
  </property>
  <property fmtid="{D5CDD505-2E9C-101B-9397-08002B2CF9AE}" pid="12" name="bjLabelHistoryID">
    <vt:lpwstr>{0A9AC93D-E7FB-4EC3-83F3-9F2A9A119BC2}</vt:lpwstr>
  </property>
</Properties>
</file>